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0" windowHeight="773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<sst xmlns="http://schemas.openxmlformats.org/spreadsheetml/2006/main" count="868" uniqueCount="25">
  <si>
    <t>2022年安徽金寨国有投资控股集团有限公司公开招聘46名工作人员
笔试成绩</t>
  </si>
  <si>
    <t>序号</t>
  </si>
  <si>
    <t>报考岗位</t>
  </si>
  <si>
    <t>准考证号</t>
  </si>
  <si>
    <t>公共基础知识成绩（120分）</t>
  </si>
  <si>
    <t>专业知识成绩
（120分）</t>
  </si>
  <si>
    <t>笔试合计成绩
（240分）</t>
  </si>
  <si>
    <t>笔试合成成绩
（100分）</t>
  </si>
  <si>
    <t>220401-审计风控部(安徽金寨国有投资控股集团有限公司)</t>
  </si>
  <si>
    <t>220403-综合管理部(安徽金寨国有投资控股集团有限公司)</t>
  </si>
  <si>
    <t>220405-计划财务部(安徽金寨国有投资控股集团有限公司)</t>
  </si>
  <si>
    <t>220406-计划财务部(安徽金寨国有投资控股集团有限公司)</t>
  </si>
  <si>
    <t>220409-质量安全部(金寨县工矿投资有限公司)</t>
  </si>
  <si>
    <t>220410-生产管理部(金寨县工矿投资有限公司)</t>
  </si>
  <si>
    <t>220402-战略发展部(安徽金寨国有投资控股集团有限公司)</t>
  </si>
  <si>
    <t>220407-融资管理部(安徽金寨国有投资控股集团有限公司)</t>
  </si>
  <si>
    <t>220408-投资管理部(金寨县城镇开发投资有限公司)</t>
  </si>
  <si>
    <t>220411-销售经营部(金寨县工矿投资有限公司)</t>
  </si>
  <si>
    <t>220412-营商环境部(金寨县产业投资发展有限公司)</t>
  </si>
  <si>
    <t>220413-产业投资部(金寨县产业投资发展有限公司)</t>
  </si>
  <si>
    <t>220414-风控合规部(金寨县产业投资发展有限公司)</t>
  </si>
  <si>
    <t>220415-再生资源管理部(再生资源回收公司)</t>
  </si>
  <si>
    <t>220416-再生资源管理部(再生资源回收公司)</t>
  </si>
  <si>
    <t>220417-担保业务部(安徽利达融资担保股份有限公司)</t>
  </si>
  <si>
    <t>220418-风险控制部(安徽利达融资担保股份有限公司)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</si>
</sst>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18" fillId="0" borderId="0"/>
    <xf numFmtId="0" fontId="12" fillId="14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1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center" vertical="center" wrapText="1"/>
    </xf>
    <xf numFmtId="0" fontId="4" fillId="0" borderId="1" xfId="26" applyNumberFormat="1" applyFont="1" applyFill="1" applyBorder="1" applyAlignment="1">
      <alignment horizontal="center" vertical="center" wrapText="1"/>
    </xf>
    <xf numFmtId="176" fontId="4" fillId="0" borderId="1" xfId="2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笔试成绩情况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62"/>
  <sheetViews>
    <sheetView tabSelected="1" zoomScale="85" zoomScaleNormal="85" workbookViewId="0">
      <selection activeCell="I6" sqref="I6"/>
    </sheetView>
  </sheetViews>
  <sheetFormatPr defaultColWidth="18.1272727272727" defaultRowHeight="13"/>
  <cols>
    <col min="1" max="1" width="5.62727272727273" style="2" customWidth="1"/>
    <col min="2" max="2" width="44.7" style="2" customWidth="1"/>
    <col min="3" max="3" width="13.1272727272727" style="2" customWidth="1"/>
    <col min="4" max="4" width="11.2181818181818" style="2" customWidth="1"/>
    <col min="5" max="5" width="10.2636363636364" style="1" customWidth="1"/>
    <col min="6" max="6" width="10.9" style="3" customWidth="1"/>
    <col min="7" max="7" width="10.1272727272727" style="3" customWidth="1"/>
    <col min="8" max="16375" width="18.1272727272727" style="1"/>
    <col min="16376" max="16384" width="18.1272727272727" style="4"/>
  </cols>
  <sheetData>
    <row r="1" s="1" customFormat="1" ht="67" customHeight="1" spans="1:7">
      <c r="A1" s="5" t="s">
        <v>0</v>
      </c>
      <c r="B1" s="5"/>
      <c r="C1" s="5"/>
      <c r="D1" s="5"/>
      <c r="E1" s="5"/>
      <c r="F1" s="6"/>
      <c r="G1" s="6"/>
    </row>
    <row r="2" s="1" customFormat="1" ht="69" customHeight="1" spans="1:16379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XEV2" s="4"/>
      <c r="XEW2" s="4"/>
      <c r="XEX2" s="4"/>
      <c r="XEY2" s="4"/>
    </row>
    <row r="3" s="1" customFormat="1" ht="18" customHeight="1" spans="1:7">
      <c r="A3" s="12">
        <v>1</v>
      </c>
      <c r="B3" s="12" t="s">
        <v>8</v>
      </c>
      <c r="C3" s="12" t="str">
        <f>"202205290101"</f>
        <v>202205290101</v>
      </c>
      <c r="D3" s="13">
        <v>0</v>
      </c>
      <c r="E3" s="14">
        <v>0</v>
      </c>
      <c r="F3" s="14">
        <f>D3+E3</f>
        <v>0</v>
      </c>
      <c r="G3" s="14">
        <f>D3/1.2*0.4+E3/1.2*0.6</f>
        <v>0</v>
      </c>
    </row>
    <row r="4" s="1" customFormat="1" ht="18" customHeight="1" spans="1:7">
      <c r="A4" s="12">
        <v>2</v>
      </c>
      <c r="B4" s="12" t="s">
        <v>8</v>
      </c>
      <c r="C4" s="12" t="str">
        <f>"202205290102"</f>
        <v>202205290102</v>
      </c>
      <c r="D4" s="13">
        <v>0</v>
      </c>
      <c r="E4" s="14">
        <v>0</v>
      </c>
      <c r="F4" s="14">
        <f t="shared" ref="F4:F67" si="0">D4+E4</f>
        <v>0</v>
      </c>
      <c r="G4" s="14">
        <f t="shared" ref="G4:G67" si="1">D4/1.2*0.4+E4/1.2*0.6</f>
        <v>0</v>
      </c>
    </row>
    <row r="5" s="1" customFormat="1" ht="18" customHeight="1" spans="1:7">
      <c r="A5" s="12">
        <v>3</v>
      </c>
      <c r="B5" s="12" t="s">
        <v>8</v>
      </c>
      <c r="C5" s="12" t="str">
        <f>"202205290103"</f>
        <v>202205290103</v>
      </c>
      <c r="D5" s="13">
        <v>0</v>
      </c>
      <c r="E5" s="14">
        <v>0</v>
      </c>
      <c r="F5" s="14">
        <f t="shared" si="0"/>
        <v>0</v>
      </c>
      <c r="G5" s="14">
        <f t="shared" si="1"/>
        <v>0</v>
      </c>
    </row>
    <row r="6" s="1" customFormat="1" ht="18" customHeight="1" spans="1:7">
      <c r="A6" s="12">
        <v>4</v>
      </c>
      <c r="B6" s="12" t="s">
        <v>8</v>
      </c>
      <c r="C6" s="12" t="str">
        <f>"202205290104"</f>
        <v>202205290104</v>
      </c>
      <c r="D6" s="13">
        <v>75.6</v>
      </c>
      <c r="E6" s="14">
        <v>59</v>
      </c>
      <c r="F6" s="14">
        <f t="shared" si="0"/>
        <v>134.6</v>
      </c>
      <c r="G6" s="14">
        <f t="shared" si="1"/>
        <v>54.7</v>
      </c>
    </row>
    <row r="7" s="1" customFormat="1" ht="18" customHeight="1" spans="1:7">
      <c r="A7" s="12">
        <v>5</v>
      </c>
      <c r="B7" s="12" t="s">
        <v>8</v>
      </c>
      <c r="C7" s="12" t="str">
        <f>"202205290105"</f>
        <v>202205290105</v>
      </c>
      <c r="D7" s="13">
        <v>0</v>
      </c>
      <c r="E7" s="14">
        <v>0</v>
      </c>
      <c r="F7" s="14">
        <f t="shared" si="0"/>
        <v>0</v>
      </c>
      <c r="G7" s="14">
        <f t="shared" si="1"/>
        <v>0</v>
      </c>
    </row>
    <row r="8" s="1" customFormat="1" ht="18" customHeight="1" spans="1:7">
      <c r="A8" s="12">
        <v>6</v>
      </c>
      <c r="B8" s="12" t="s">
        <v>8</v>
      </c>
      <c r="C8" s="12" t="str">
        <f>"202205290106"</f>
        <v>202205290106</v>
      </c>
      <c r="D8" s="13">
        <v>76.8</v>
      </c>
      <c r="E8" s="14">
        <v>82</v>
      </c>
      <c r="F8" s="14">
        <f t="shared" si="0"/>
        <v>158.8</v>
      </c>
      <c r="G8" s="14">
        <f t="shared" si="1"/>
        <v>66.6</v>
      </c>
    </row>
    <row r="9" s="1" customFormat="1" ht="18" customHeight="1" spans="1:7">
      <c r="A9" s="12">
        <v>7</v>
      </c>
      <c r="B9" s="12" t="s">
        <v>9</v>
      </c>
      <c r="C9" s="12" t="str">
        <f>"202205290107"</f>
        <v>202205290107</v>
      </c>
      <c r="D9" s="13">
        <v>0</v>
      </c>
      <c r="E9" s="14">
        <v>0</v>
      </c>
      <c r="F9" s="14">
        <f t="shared" si="0"/>
        <v>0</v>
      </c>
      <c r="G9" s="14">
        <f t="shared" si="1"/>
        <v>0</v>
      </c>
    </row>
    <row r="10" s="1" customFormat="1" ht="18" customHeight="1" spans="1:7">
      <c r="A10" s="12">
        <v>8</v>
      </c>
      <c r="B10" s="12" t="s">
        <v>9</v>
      </c>
      <c r="C10" s="12" t="str">
        <f>"202205290108"</f>
        <v>202205290108</v>
      </c>
      <c r="D10" s="13">
        <v>0</v>
      </c>
      <c r="E10" s="14">
        <v>0</v>
      </c>
      <c r="F10" s="14">
        <f t="shared" si="0"/>
        <v>0</v>
      </c>
      <c r="G10" s="14">
        <f t="shared" si="1"/>
        <v>0</v>
      </c>
    </row>
    <row r="11" s="1" customFormat="1" ht="18" customHeight="1" spans="1:7">
      <c r="A11" s="12">
        <v>9</v>
      </c>
      <c r="B11" s="12" t="s">
        <v>9</v>
      </c>
      <c r="C11" s="12" t="str">
        <f>"202205290109"</f>
        <v>202205290109</v>
      </c>
      <c r="D11" s="13">
        <v>75.6</v>
      </c>
      <c r="E11" s="14">
        <v>80.6</v>
      </c>
      <c r="F11" s="14">
        <f t="shared" si="0"/>
        <v>156.2</v>
      </c>
      <c r="G11" s="14">
        <f t="shared" si="1"/>
        <v>65.5</v>
      </c>
    </row>
    <row r="12" s="1" customFormat="1" ht="18" customHeight="1" spans="1:7">
      <c r="A12" s="12">
        <v>10</v>
      </c>
      <c r="B12" s="12" t="s">
        <v>9</v>
      </c>
      <c r="C12" s="12" t="str">
        <f>"202205290110"</f>
        <v>202205290110</v>
      </c>
      <c r="D12" s="13">
        <v>76.8</v>
      </c>
      <c r="E12" s="14">
        <v>83</v>
      </c>
      <c r="F12" s="14">
        <f t="shared" si="0"/>
        <v>159.8</v>
      </c>
      <c r="G12" s="14">
        <f t="shared" si="1"/>
        <v>67.1</v>
      </c>
    </row>
    <row r="13" s="1" customFormat="1" ht="18" customHeight="1" spans="1:7">
      <c r="A13" s="12">
        <v>11</v>
      </c>
      <c r="B13" s="12" t="s">
        <v>9</v>
      </c>
      <c r="C13" s="12" t="str">
        <f>"202205290111"</f>
        <v>202205290111</v>
      </c>
      <c r="D13" s="13">
        <v>83</v>
      </c>
      <c r="E13" s="14">
        <v>76.4</v>
      </c>
      <c r="F13" s="14">
        <f t="shared" si="0"/>
        <v>159.4</v>
      </c>
      <c r="G13" s="14">
        <f t="shared" si="1"/>
        <v>65.8666666666667</v>
      </c>
    </row>
    <row r="14" s="1" customFormat="1" ht="18" customHeight="1" spans="1:7">
      <c r="A14" s="12">
        <v>12</v>
      </c>
      <c r="B14" s="12" t="s">
        <v>9</v>
      </c>
      <c r="C14" s="12" t="str">
        <f>"202205290112"</f>
        <v>202205290112</v>
      </c>
      <c r="D14" s="13">
        <v>0</v>
      </c>
      <c r="E14" s="14">
        <v>0</v>
      </c>
      <c r="F14" s="14">
        <f t="shared" si="0"/>
        <v>0</v>
      </c>
      <c r="G14" s="14">
        <f t="shared" si="1"/>
        <v>0</v>
      </c>
    </row>
    <row r="15" s="1" customFormat="1" ht="18" customHeight="1" spans="1:7">
      <c r="A15" s="12">
        <v>13</v>
      </c>
      <c r="B15" s="12" t="s">
        <v>9</v>
      </c>
      <c r="C15" s="12" t="str">
        <f>"202205290113"</f>
        <v>202205290113</v>
      </c>
      <c r="D15" s="13">
        <v>85.4</v>
      </c>
      <c r="E15" s="14">
        <v>77.8</v>
      </c>
      <c r="F15" s="14">
        <f t="shared" si="0"/>
        <v>163.2</v>
      </c>
      <c r="G15" s="14">
        <f t="shared" si="1"/>
        <v>67.3666666666667</v>
      </c>
    </row>
    <row r="16" s="1" customFormat="1" ht="18" customHeight="1" spans="1:7">
      <c r="A16" s="12">
        <v>14</v>
      </c>
      <c r="B16" s="12" t="s">
        <v>9</v>
      </c>
      <c r="C16" s="12" t="str">
        <f>"202205290114"</f>
        <v>202205290114</v>
      </c>
      <c r="D16" s="13">
        <v>78.4</v>
      </c>
      <c r="E16" s="14">
        <v>76.8</v>
      </c>
      <c r="F16" s="14">
        <f t="shared" si="0"/>
        <v>155.2</v>
      </c>
      <c r="G16" s="14">
        <f t="shared" si="1"/>
        <v>64.5333333333333</v>
      </c>
    </row>
    <row r="17" s="1" customFormat="1" ht="18" customHeight="1" spans="1:7">
      <c r="A17" s="12">
        <v>15</v>
      </c>
      <c r="B17" s="12" t="s">
        <v>9</v>
      </c>
      <c r="C17" s="12" t="str">
        <f>"202205290115"</f>
        <v>202205290115</v>
      </c>
      <c r="D17" s="13">
        <v>0</v>
      </c>
      <c r="E17" s="14">
        <v>0</v>
      </c>
      <c r="F17" s="14">
        <f t="shared" si="0"/>
        <v>0</v>
      </c>
      <c r="G17" s="14">
        <f t="shared" si="1"/>
        <v>0</v>
      </c>
    </row>
    <row r="18" s="1" customFormat="1" ht="18" customHeight="1" spans="1:7">
      <c r="A18" s="12">
        <v>16</v>
      </c>
      <c r="B18" s="12" t="s">
        <v>9</v>
      </c>
      <c r="C18" s="12" t="str">
        <f>"202205290116"</f>
        <v>202205290116</v>
      </c>
      <c r="D18" s="13">
        <v>0</v>
      </c>
      <c r="E18" s="14">
        <v>0</v>
      </c>
      <c r="F18" s="14">
        <f t="shared" si="0"/>
        <v>0</v>
      </c>
      <c r="G18" s="14">
        <f t="shared" si="1"/>
        <v>0</v>
      </c>
    </row>
    <row r="19" s="1" customFormat="1" ht="18" customHeight="1" spans="1:7">
      <c r="A19" s="12">
        <v>17</v>
      </c>
      <c r="B19" s="12" t="s">
        <v>9</v>
      </c>
      <c r="C19" s="12" t="str">
        <f>"202205290117"</f>
        <v>202205290117</v>
      </c>
      <c r="D19" s="13">
        <v>0</v>
      </c>
      <c r="E19" s="14">
        <v>0</v>
      </c>
      <c r="F19" s="14">
        <f t="shared" si="0"/>
        <v>0</v>
      </c>
      <c r="G19" s="14">
        <f t="shared" si="1"/>
        <v>0</v>
      </c>
    </row>
    <row r="20" s="1" customFormat="1" ht="18" customHeight="1" spans="1:7">
      <c r="A20" s="12">
        <v>18</v>
      </c>
      <c r="B20" s="12" t="s">
        <v>9</v>
      </c>
      <c r="C20" s="12" t="str">
        <f>"202205290118"</f>
        <v>202205290118</v>
      </c>
      <c r="D20" s="13">
        <v>84.8</v>
      </c>
      <c r="E20" s="14">
        <v>82.8</v>
      </c>
      <c r="F20" s="14">
        <f t="shared" si="0"/>
        <v>167.6</v>
      </c>
      <c r="G20" s="14">
        <f t="shared" si="1"/>
        <v>69.6666666666667</v>
      </c>
    </row>
    <row r="21" s="1" customFormat="1" ht="18" customHeight="1" spans="1:7">
      <c r="A21" s="12">
        <v>19</v>
      </c>
      <c r="B21" s="12" t="s">
        <v>9</v>
      </c>
      <c r="C21" s="12" t="str">
        <f>"202205290119"</f>
        <v>202205290119</v>
      </c>
      <c r="D21" s="13">
        <v>81.6</v>
      </c>
      <c r="E21" s="14">
        <v>76</v>
      </c>
      <c r="F21" s="14">
        <f t="shared" si="0"/>
        <v>157.6</v>
      </c>
      <c r="G21" s="14">
        <f t="shared" si="1"/>
        <v>65.2</v>
      </c>
    </row>
    <row r="22" s="1" customFormat="1" ht="18" customHeight="1" spans="1:7">
      <c r="A22" s="12">
        <v>20</v>
      </c>
      <c r="B22" s="12" t="s">
        <v>9</v>
      </c>
      <c r="C22" s="12" t="str">
        <f>"202205290120"</f>
        <v>202205290120</v>
      </c>
      <c r="D22" s="13">
        <v>0</v>
      </c>
      <c r="E22" s="14">
        <v>0</v>
      </c>
      <c r="F22" s="14">
        <f t="shared" si="0"/>
        <v>0</v>
      </c>
      <c r="G22" s="14">
        <f t="shared" si="1"/>
        <v>0</v>
      </c>
    </row>
    <row r="23" s="1" customFormat="1" ht="18" customHeight="1" spans="1:7">
      <c r="A23" s="12">
        <v>21</v>
      </c>
      <c r="B23" s="12" t="s">
        <v>9</v>
      </c>
      <c r="C23" s="12" t="str">
        <f>"202205290121"</f>
        <v>202205290121</v>
      </c>
      <c r="D23" s="13">
        <v>0</v>
      </c>
      <c r="E23" s="14">
        <v>0</v>
      </c>
      <c r="F23" s="14">
        <f t="shared" si="0"/>
        <v>0</v>
      </c>
      <c r="G23" s="14">
        <f t="shared" si="1"/>
        <v>0</v>
      </c>
    </row>
    <row r="24" s="1" customFormat="1" ht="18" customHeight="1" spans="1:7">
      <c r="A24" s="12">
        <v>22</v>
      </c>
      <c r="B24" s="12" t="s">
        <v>9</v>
      </c>
      <c r="C24" s="12" t="str">
        <f>"202205290122"</f>
        <v>202205290122</v>
      </c>
      <c r="D24" s="13">
        <v>90.2</v>
      </c>
      <c r="E24" s="14">
        <v>80.2</v>
      </c>
      <c r="F24" s="14">
        <f t="shared" si="0"/>
        <v>170.4</v>
      </c>
      <c r="G24" s="14">
        <f t="shared" si="1"/>
        <v>70.1666666666667</v>
      </c>
    </row>
    <row r="25" s="1" customFormat="1" ht="18" customHeight="1" spans="1:7">
      <c r="A25" s="12">
        <v>23</v>
      </c>
      <c r="B25" s="12" t="s">
        <v>9</v>
      </c>
      <c r="C25" s="12" t="str">
        <f>"202205290123"</f>
        <v>202205290123</v>
      </c>
      <c r="D25" s="13">
        <v>0</v>
      </c>
      <c r="E25" s="14">
        <v>0</v>
      </c>
      <c r="F25" s="14">
        <f t="shared" si="0"/>
        <v>0</v>
      </c>
      <c r="G25" s="14">
        <f t="shared" si="1"/>
        <v>0</v>
      </c>
    </row>
    <row r="26" s="1" customFormat="1" ht="18" customHeight="1" spans="1:7">
      <c r="A26" s="12">
        <v>24</v>
      </c>
      <c r="B26" s="12" t="s">
        <v>9</v>
      </c>
      <c r="C26" s="12" t="str">
        <f>"202205290124"</f>
        <v>202205290124</v>
      </c>
      <c r="D26" s="13">
        <v>0</v>
      </c>
      <c r="E26" s="14">
        <v>0</v>
      </c>
      <c r="F26" s="14">
        <f t="shared" si="0"/>
        <v>0</v>
      </c>
      <c r="G26" s="14">
        <f t="shared" si="1"/>
        <v>0</v>
      </c>
    </row>
    <row r="27" s="1" customFormat="1" ht="18" customHeight="1" spans="1:7">
      <c r="A27" s="12">
        <v>25</v>
      </c>
      <c r="B27" s="12" t="s">
        <v>9</v>
      </c>
      <c r="C27" s="12" t="str">
        <f>"202205290125"</f>
        <v>202205290125</v>
      </c>
      <c r="D27" s="13">
        <v>86</v>
      </c>
      <c r="E27" s="14">
        <v>87</v>
      </c>
      <c r="F27" s="14">
        <f t="shared" si="0"/>
        <v>173</v>
      </c>
      <c r="G27" s="14">
        <f t="shared" si="1"/>
        <v>72.1666666666667</v>
      </c>
    </row>
    <row r="28" s="1" customFormat="1" ht="18" customHeight="1" spans="1:7">
      <c r="A28" s="12">
        <v>26</v>
      </c>
      <c r="B28" s="12" t="s">
        <v>9</v>
      </c>
      <c r="C28" s="12" t="str">
        <f>"202205290126"</f>
        <v>202205290126</v>
      </c>
      <c r="D28" s="13">
        <v>65.8</v>
      </c>
      <c r="E28" s="14">
        <v>70.8</v>
      </c>
      <c r="F28" s="14">
        <f t="shared" si="0"/>
        <v>136.6</v>
      </c>
      <c r="G28" s="14">
        <f t="shared" si="1"/>
        <v>57.3333333333333</v>
      </c>
    </row>
    <row r="29" s="1" customFormat="1" ht="18" customHeight="1" spans="1:7">
      <c r="A29" s="12">
        <v>27</v>
      </c>
      <c r="B29" s="12" t="s">
        <v>9</v>
      </c>
      <c r="C29" s="12" t="str">
        <f>"202205290127"</f>
        <v>202205290127</v>
      </c>
      <c r="D29" s="13">
        <v>78.4</v>
      </c>
      <c r="E29" s="14">
        <v>73</v>
      </c>
      <c r="F29" s="14">
        <f t="shared" si="0"/>
        <v>151.4</v>
      </c>
      <c r="G29" s="14">
        <f t="shared" si="1"/>
        <v>62.6333333333333</v>
      </c>
    </row>
    <row r="30" s="1" customFormat="1" ht="18" customHeight="1" spans="1:7">
      <c r="A30" s="12">
        <v>28</v>
      </c>
      <c r="B30" s="12" t="s">
        <v>9</v>
      </c>
      <c r="C30" s="12" t="str">
        <f>"202205290128"</f>
        <v>202205290128</v>
      </c>
      <c r="D30" s="13">
        <v>0</v>
      </c>
      <c r="E30" s="14">
        <v>0</v>
      </c>
      <c r="F30" s="14">
        <f t="shared" si="0"/>
        <v>0</v>
      </c>
      <c r="G30" s="14">
        <f t="shared" si="1"/>
        <v>0</v>
      </c>
    </row>
    <row r="31" s="1" customFormat="1" ht="18" customHeight="1" spans="1:7">
      <c r="A31" s="12">
        <v>29</v>
      </c>
      <c r="B31" s="12" t="s">
        <v>9</v>
      </c>
      <c r="C31" s="12" t="str">
        <f>"202205290129"</f>
        <v>202205290129</v>
      </c>
      <c r="D31" s="13">
        <v>0</v>
      </c>
      <c r="E31" s="14">
        <v>0</v>
      </c>
      <c r="F31" s="14">
        <f t="shared" si="0"/>
        <v>0</v>
      </c>
      <c r="G31" s="14">
        <f t="shared" si="1"/>
        <v>0</v>
      </c>
    </row>
    <row r="32" s="1" customFormat="1" ht="18" customHeight="1" spans="1:7">
      <c r="A32" s="12">
        <v>30</v>
      </c>
      <c r="B32" s="12" t="s">
        <v>9</v>
      </c>
      <c r="C32" s="12" t="str">
        <f>"202205290130"</f>
        <v>202205290130</v>
      </c>
      <c r="D32" s="13">
        <v>0</v>
      </c>
      <c r="E32" s="14">
        <v>0</v>
      </c>
      <c r="F32" s="14">
        <f t="shared" si="0"/>
        <v>0</v>
      </c>
      <c r="G32" s="14">
        <f t="shared" si="1"/>
        <v>0</v>
      </c>
    </row>
    <row r="33" s="1" customFormat="1" ht="18" customHeight="1" spans="1:7">
      <c r="A33" s="12">
        <v>31</v>
      </c>
      <c r="B33" s="12" t="s">
        <v>9</v>
      </c>
      <c r="C33" s="12" t="str">
        <f>"202205290201"</f>
        <v>202205290201</v>
      </c>
      <c r="D33" s="13">
        <v>90.6</v>
      </c>
      <c r="E33" s="14">
        <v>90.6</v>
      </c>
      <c r="F33" s="14">
        <f t="shared" si="0"/>
        <v>181.2</v>
      </c>
      <c r="G33" s="14">
        <f t="shared" si="1"/>
        <v>75.5</v>
      </c>
    </row>
    <row r="34" s="1" customFormat="1" ht="18" customHeight="1" spans="1:7">
      <c r="A34" s="12">
        <v>32</v>
      </c>
      <c r="B34" s="12" t="s">
        <v>9</v>
      </c>
      <c r="C34" s="12" t="str">
        <f>"202205290202"</f>
        <v>202205290202</v>
      </c>
      <c r="D34" s="13">
        <v>84.2</v>
      </c>
      <c r="E34" s="14">
        <v>82.4</v>
      </c>
      <c r="F34" s="14">
        <f t="shared" si="0"/>
        <v>166.6</v>
      </c>
      <c r="G34" s="14">
        <f t="shared" si="1"/>
        <v>69.2666666666667</v>
      </c>
    </row>
    <row r="35" s="1" customFormat="1" ht="18" customHeight="1" spans="1:7">
      <c r="A35" s="12">
        <v>33</v>
      </c>
      <c r="B35" s="12" t="s">
        <v>9</v>
      </c>
      <c r="C35" s="12" t="str">
        <f>"202205290203"</f>
        <v>202205290203</v>
      </c>
      <c r="D35" s="13">
        <v>81.8</v>
      </c>
      <c r="E35" s="14">
        <v>92</v>
      </c>
      <c r="F35" s="14">
        <f t="shared" si="0"/>
        <v>173.8</v>
      </c>
      <c r="G35" s="14">
        <f t="shared" si="1"/>
        <v>73.2666666666667</v>
      </c>
    </row>
    <row r="36" s="1" customFormat="1" ht="18" customHeight="1" spans="1:7">
      <c r="A36" s="12">
        <v>34</v>
      </c>
      <c r="B36" s="12" t="s">
        <v>9</v>
      </c>
      <c r="C36" s="12" t="str">
        <f>"202205290204"</f>
        <v>202205290204</v>
      </c>
      <c r="D36" s="13">
        <v>0</v>
      </c>
      <c r="E36" s="14">
        <v>0</v>
      </c>
      <c r="F36" s="14">
        <f t="shared" si="0"/>
        <v>0</v>
      </c>
      <c r="G36" s="14">
        <f t="shared" si="1"/>
        <v>0</v>
      </c>
    </row>
    <row r="37" s="1" customFormat="1" ht="18" customHeight="1" spans="1:7">
      <c r="A37" s="12">
        <v>35</v>
      </c>
      <c r="B37" s="12" t="s">
        <v>9</v>
      </c>
      <c r="C37" s="12" t="str">
        <f>"202205290205"</f>
        <v>202205290205</v>
      </c>
      <c r="D37" s="13">
        <v>83</v>
      </c>
      <c r="E37" s="14">
        <v>86.4</v>
      </c>
      <c r="F37" s="14">
        <f t="shared" si="0"/>
        <v>169.4</v>
      </c>
      <c r="G37" s="14">
        <f t="shared" si="1"/>
        <v>70.8666666666667</v>
      </c>
    </row>
    <row r="38" s="1" customFormat="1" ht="18" customHeight="1" spans="1:7">
      <c r="A38" s="12">
        <v>36</v>
      </c>
      <c r="B38" s="12" t="s">
        <v>9</v>
      </c>
      <c r="C38" s="12" t="str">
        <f>"202205290206"</f>
        <v>202205290206</v>
      </c>
      <c r="D38" s="13">
        <v>0</v>
      </c>
      <c r="E38" s="14">
        <v>0</v>
      </c>
      <c r="F38" s="14">
        <f t="shared" si="0"/>
        <v>0</v>
      </c>
      <c r="G38" s="14">
        <f t="shared" si="1"/>
        <v>0</v>
      </c>
    </row>
    <row r="39" s="1" customFormat="1" ht="18" customHeight="1" spans="1:7">
      <c r="A39" s="12">
        <v>37</v>
      </c>
      <c r="B39" s="12" t="s">
        <v>9</v>
      </c>
      <c r="C39" s="12" t="str">
        <f>"202205290207"</f>
        <v>202205290207</v>
      </c>
      <c r="D39" s="13">
        <v>0</v>
      </c>
      <c r="E39" s="14">
        <v>0</v>
      </c>
      <c r="F39" s="14">
        <f t="shared" si="0"/>
        <v>0</v>
      </c>
      <c r="G39" s="14">
        <f t="shared" si="1"/>
        <v>0</v>
      </c>
    </row>
    <row r="40" s="1" customFormat="1" ht="18" customHeight="1" spans="1:7">
      <c r="A40" s="12">
        <v>38</v>
      </c>
      <c r="B40" s="12" t="s">
        <v>9</v>
      </c>
      <c r="C40" s="12" t="str">
        <f>"202205290208"</f>
        <v>202205290208</v>
      </c>
      <c r="D40" s="13">
        <v>78.6</v>
      </c>
      <c r="E40" s="14">
        <v>70.8</v>
      </c>
      <c r="F40" s="14">
        <f t="shared" si="0"/>
        <v>149.4</v>
      </c>
      <c r="G40" s="14">
        <f t="shared" si="1"/>
        <v>61.6</v>
      </c>
    </row>
    <row r="41" s="1" customFormat="1" ht="18" customHeight="1" spans="1:7">
      <c r="A41" s="12">
        <v>39</v>
      </c>
      <c r="B41" s="12" t="s">
        <v>9</v>
      </c>
      <c r="C41" s="12" t="str">
        <f>"202205290209"</f>
        <v>202205290209</v>
      </c>
      <c r="D41" s="13">
        <v>84.2</v>
      </c>
      <c r="E41" s="14">
        <v>83.2</v>
      </c>
      <c r="F41" s="14">
        <f t="shared" si="0"/>
        <v>167.4</v>
      </c>
      <c r="G41" s="14">
        <f t="shared" si="1"/>
        <v>69.6666666666667</v>
      </c>
    </row>
    <row r="42" s="1" customFormat="1" ht="18" customHeight="1" spans="1:7">
      <c r="A42" s="12">
        <v>40</v>
      </c>
      <c r="B42" s="12" t="s">
        <v>9</v>
      </c>
      <c r="C42" s="12" t="str">
        <f>"202205290210"</f>
        <v>202205290210</v>
      </c>
      <c r="D42" s="13">
        <v>81.6</v>
      </c>
      <c r="E42" s="14">
        <v>78.2</v>
      </c>
      <c r="F42" s="14">
        <f t="shared" si="0"/>
        <v>159.8</v>
      </c>
      <c r="G42" s="14">
        <f t="shared" si="1"/>
        <v>66.3</v>
      </c>
    </row>
    <row r="43" s="1" customFormat="1" ht="18" customHeight="1" spans="1:7">
      <c r="A43" s="12">
        <v>41</v>
      </c>
      <c r="B43" s="12" t="s">
        <v>9</v>
      </c>
      <c r="C43" s="12" t="str">
        <f>"202205290211"</f>
        <v>202205290211</v>
      </c>
      <c r="D43" s="13">
        <v>0</v>
      </c>
      <c r="E43" s="14">
        <v>0</v>
      </c>
      <c r="F43" s="14">
        <f t="shared" si="0"/>
        <v>0</v>
      </c>
      <c r="G43" s="14">
        <f t="shared" si="1"/>
        <v>0</v>
      </c>
    </row>
    <row r="44" s="1" customFormat="1" ht="18" customHeight="1" spans="1:7">
      <c r="A44" s="12">
        <v>42</v>
      </c>
      <c r="B44" s="12" t="s">
        <v>9</v>
      </c>
      <c r="C44" s="12" t="str">
        <f>"202205290212"</f>
        <v>202205290212</v>
      </c>
      <c r="D44" s="13">
        <v>81.4</v>
      </c>
      <c r="E44" s="14">
        <v>75.4</v>
      </c>
      <c r="F44" s="14">
        <f t="shared" si="0"/>
        <v>156.8</v>
      </c>
      <c r="G44" s="14">
        <f t="shared" si="1"/>
        <v>64.8333333333333</v>
      </c>
    </row>
    <row r="45" s="1" customFormat="1" ht="18" customHeight="1" spans="1:7">
      <c r="A45" s="12">
        <v>43</v>
      </c>
      <c r="B45" s="12" t="s">
        <v>9</v>
      </c>
      <c r="C45" s="12" t="str">
        <f>"202205290213"</f>
        <v>202205290213</v>
      </c>
      <c r="D45" s="13">
        <v>85.2</v>
      </c>
      <c r="E45" s="14">
        <v>89</v>
      </c>
      <c r="F45" s="14">
        <f t="shared" si="0"/>
        <v>174.2</v>
      </c>
      <c r="G45" s="14">
        <f t="shared" si="1"/>
        <v>72.9</v>
      </c>
    </row>
    <row r="46" s="1" customFormat="1" ht="18" customHeight="1" spans="1:7">
      <c r="A46" s="12">
        <v>44</v>
      </c>
      <c r="B46" s="12" t="s">
        <v>9</v>
      </c>
      <c r="C46" s="12" t="str">
        <f>"202205290214"</f>
        <v>202205290214</v>
      </c>
      <c r="D46" s="13">
        <v>74.4</v>
      </c>
      <c r="E46" s="14">
        <v>69.2</v>
      </c>
      <c r="F46" s="14">
        <f t="shared" si="0"/>
        <v>143.6</v>
      </c>
      <c r="G46" s="14">
        <f t="shared" si="1"/>
        <v>59.4</v>
      </c>
    </row>
    <row r="47" s="1" customFormat="1" ht="18" customHeight="1" spans="1:7">
      <c r="A47" s="12">
        <v>45</v>
      </c>
      <c r="B47" s="12" t="s">
        <v>9</v>
      </c>
      <c r="C47" s="12" t="str">
        <f>"202205290215"</f>
        <v>202205290215</v>
      </c>
      <c r="D47" s="13">
        <v>73.2</v>
      </c>
      <c r="E47" s="14">
        <v>75.4</v>
      </c>
      <c r="F47" s="14">
        <f t="shared" si="0"/>
        <v>148.6</v>
      </c>
      <c r="G47" s="14">
        <f t="shared" si="1"/>
        <v>62.1</v>
      </c>
    </row>
    <row r="48" s="1" customFormat="1" ht="18" customHeight="1" spans="1:7">
      <c r="A48" s="12">
        <v>46</v>
      </c>
      <c r="B48" s="12" t="s">
        <v>9</v>
      </c>
      <c r="C48" s="12" t="str">
        <f>"202205290216"</f>
        <v>202205290216</v>
      </c>
      <c r="D48" s="13">
        <v>78.6</v>
      </c>
      <c r="E48" s="14">
        <v>70.4</v>
      </c>
      <c r="F48" s="14">
        <f t="shared" si="0"/>
        <v>149</v>
      </c>
      <c r="G48" s="14">
        <f t="shared" si="1"/>
        <v>61.4</v>
      </c>
    </row>
    <row r="49" s="1" customFormat="1" ht="18" customHeight="1" spans="1:7">
      <c r="A49" s="12">
        <v>47</v>
      </c>
      <c r="B49" s="12" t="s">
        <v>9</v>
      </c>
      <c r="C49" s="12" t="str">
        <f>"202205290217"</f>
        <v>202205290217</v>
      </c>
      <c r="D49" s="13">
        <v>78.2</v>
      </c>
      <c r="E49" s="14">
        <v>74.6</v>
      </c>
      <c r="F49" s="14">
        <f t="shared" si="0"/>
        <v>152.8</v>
      </c>
      <c r="G49" s="14">
        <f t="shared" si="1"/>
        <v>63.3666666666667</v>
      </c>
    </row>
    <row r="50" s="1" customFormat="1" ht="18" customHeight="1" spans="1:7">
      <c r="A50" s="12">
        <v>48</v>
      </c>
      <c r="B50" s="12" t="s">
        <v>9</v>
      </c>
      <c r="C50" s="12" t="str">
        <f>"202205290218"</f>
        <v>202205290218</v>
      </c>
      <c r="D50" s="13">
        <v>0</v>
      </c>
      <c r="E50" s="14">
        <v>0</v>
      </c>
      <c r="F50" s="14">
        <f t="shared" si="0"/>
        <v>0</v>
      </c>
      <c r="G50" s="14">
        <f t="shared" si="1"/>
        <v>0</v>
      </c>
    </row>
    <row r="51" s="1" customFormat="1" ht="18" customHeight="1" spans="1:7">
      <c r="A51" s="12">
        <v>49</v>
      </c>
      <c r="B51" s="12" t="s">
        <v>9</v>
      </c>
      <c r="C51" s="12" t="str">
        <f>"202205290219"</f>
        <v>202205290219</v>
      </c>
      <c r="D51" s="13">
        <v>82.2</v>
      </c>
      <c r="E51" s="14">
        <v>78.2</v>
      </c>
      <c r="F51" s="14">
        <f t="shared" si="0"/>
        <v>160.4</v>
      </c>
      <c r="G51" s="14">
        <f t="shared" si="1"/>
        <v>66.5</v>
      </c>
    </row>
    <row r="52" s="1" customFormat="1" ht="18" customHeight="1" spans="1:16379">
      <c r="A52" s="12">
        <v>50</v>
      </c>
      <c r="B52" s="12" t="s">
        <v>10</v>
      </c>
      <c r="C52" s="12" t="str">
        <f>"202205290220"</f>
        <v>202205290220</v>
      </c>
      <c r="D52" s="13">
        <v>73</v>
      </c>
      <c r="E52" s="14">
        <v>86</v>
      </c>
      <c r="F52" s="14">
        <f t="shared" si="0"/>
        <v>159</v>
      </c>
      <c r="G52" s="14">
        <f t="shared" si="1"/>
        <v>67.3333333333333</v>
      </c>
      <c r="XEV52" s="4"/>
      <c r="XEW52" s="4"/>
      <c r="XEX52" s="4"/>
      <c r="XEY52" s="4"/>
    </row>
    <row r="53" s="1" customFormat="1" ht="18" customHeight="1" spans="1:7">
      <c r="A53" s="12">
        <v>51</v>
      </c>
      <c r="B53" s="12" t="s">
        <v>10</v>
      </c>
      <c r="C53" s="12" t="str">
        <f>"202205290221"</f>
        <v>202205290221</v>
      </c>
      <c r="D53" s="13">
        <v>75.2</v>
      </c>
      <c r="E53" s="14">
        <v>94</v>
      </c>
      <c r="F53" s="14">
        <f t="shared" si="0"/>
        <v>169.2</v>
      </c>
      <c r="G53" s="14">
        <f t="shared" si="1"/>
        <v>72.0666666666667</v>
      </c>
    </row>
    <row r="54" s="1" customFormat="1" ht="18" customHeight="1" spans="1:7">
      <c r="A54" s="12">
        <v>52</v>
      </c>
      <c r="B54" s="12" t="s">
        <v>10</v>
      </c>
      <c r="C54" s="12" t="str">
        <f>"202205290222"</f>
        <v>202205290222</v>
      </c>
      <c r="D54" s="13">
        <v>0</v>
      </c>
      <c r="E54" s="14">
        <v>0</v>
      </c>
      <c r="F54" s="14">
        <f t="shared" si="0"/>
        <v>0</v>
      </c>
      <c r="G54" s="14">
        <f t="shared" si="1"/>
        <v>0</v>
      </c>
    </row>
    <row r="55" s="1" customFormat="1" ht="18" customHeight="1" spans="1:7">
      <c r="A55" s="12">
        <v>53</v>
      </c>
      <c r="B55" s="12" t="s">
        <v>10</v>
      </c>
      <c r="C55" s="12" t="str">
        <f>"202205290223"</f>
        <v>202205290223</v>
      </c>
      <c r="D55" s="13">
        <v>38</v>
      </c>
      <c r="E55" s="14">
        <v>45.75</v>
      </c>
      <c r="F55" s="14">
        <f t="shared" si="0"/>
        <v>83.75</v>
      </c>
      <c r="G55" s="14">
        <f t="shared" si="1"/>
        <v>35.5416666666667</v>
      </c>
    </row>
    <row r="56" s="1" customFormat="1" ht="18" customHeight="1" spans="1:7">
      <c r="A56" s="12">
        <v>54</v>
      </c>
      <c r="B56" s="12" t="s">
        <v>10</v>
      </c>
      <c r="C56" s="12" t="str">
        <f>"202205290224"</f>
        <v>202205290224</v>
      </c>
      <c r="D56" s="13">
        <v>68.2</v>
      </c>
      <c r="E56" s="14">
        <v>71.75</v>
      </c>
      <c r="F56" s="14">
        <f t="shared" si="0"/>
        <v>139.95</v>
      </c>
      <c r="G56" s="14">
        <f t="shared" si="1"/>
        <v>58.6083333333333</v>
      </c>
    </row>
    <row r="57" s="1" customFormat="1" ht="18" customHeight="1" spans="1:7">
      <c r="A57" s="12">
        <v>55</v>
      </c>
      <c r="B57" s="12" t="s">
        <v>10</v>
      </c>
      <c r="C57" s="12" t="str">
        <f>"202205290225"</f>
        <v>202205290225</v>
      </c>
      <c r="D57" s="13">
        <v>75.6</v>
      </c>
      <c r="E57" s="14">
        <v>92</v>
      </c>
      <c r="F57" s="14">
        <f t="shared" si="0"/>
        <v>167.6</v>
      </c>
      <c r="G57" s="14">
        <f t="shared" si="1"/>
        <v>71.2</v>
      </c>
    </row>
    <row r="58" s="1" customFormat="1" ht="18" customHeight="1" spans="1:7">
      <c r="A58" s="12">
        <v>56</v>
      </c>
      <c r="B58" s="12" t="s">
        <v>10</v>
      </c>
      <c r="C58" s="12" t="str">
        <f>"202205290226"</f>
        <v>202205290226</v>
      </c>
      <c r="D58" s="13">
        <v>83.8</v>
      </c>
      <c r="E58" s="14">
        <v>75.25</v>
      </c>
      <c r="F58" s="14">
        <f t="shared" si="0"/>
        <v>159.05</v>
      </c>
      <c r="G58" s="14">
        <f t="shared" si="1"/>
        <v>65.5583333333333</v>
      </c>
    </row>
    <row r="59" s="1" customFormat="1" ht="18" customHeight="1" spans="1:7">
      <c r="A59" s="12">
        <v>57</v>
      </c>
      <c r="B59" s="12" t="s">
        <v>10</v>
      </c>
      <c r="C59" s="12" t="str">
        <f>"202205290227"</f>
        <v>202205290227</v>
      </c>
      <c r="D59" s="13">
        <v>66</v>
      </c>
      <c r="E59" s="14">
        <v>67.5</v>
      </c>
      <c r="F59" s="14">
        <f t="shared" si="0"/>
        <v>133.5</v>
      </c>
      <c r="G59" s="14">
        <f t="shared" si="1"/>
        <v>55.75</v>
      </c>
    </row>
    <row r="60" s="1" customFormat="1" ht="18" customHeight="1" spans="1:7">
      <c r="A60" s="12">
        <v>58</v>
      </c>
      <c r="B60" s="12" t="s">
        <v>10</v>
      </c>
      <c r="C60" s="12" t="str">
        <f>"202205290228"</f>
        <v>202205290228</v>
      </c>
      <c r="D60" s="13">
        <v>0</v>
      </c>
      <c r="E60" s="14">
        <v>0</v>
      </c>
      <c r="F60" s="14">
        <f t="shared" si="0"/>
        <v>0</v>
      </c>
      <c r="G60" s="14">
        <f t="shared" si="1"/>
        <v>0</v>
      </c>
    </row>
    <row r="61" s="1" customFormat="1" ht="18" customHeight="1" spans="1:7">
      <c r="A61" s="12">
        <v>59</v>
      </c>
      <c r="B61" s="12" t="s">
        <v>10</v>
      </c>
      <c r="C61" s="12" t="str">
        <f>"202205290229"</f>
        <v>202205290229</v>
      </c>
      <c r="D61" s="13">
        <v>86.4</v>
      </c>
      <c r="E61" s="14">
        <v>64.5</v>
      </c>
      <c r="F61" s="14">
        <f t="shared" si="0"/>
        <v>150.9</v>
      </c>
      <c r="G61" s="14">
        <f t="shared" si="1"/>
        <v>61.05</v>
      </c>
    </row>
    <row r="62" s="1" customFormat="1" ht="18" customHeight="1" spans="1:7">
      <c r="A62" s="12">
        <v>60</v>
      </c>
      <c r="B62" s="12" t="s">
        <v>10</v>
      </c>
      <c r="C62" s="12" t="str">
        <f>"202205290230"</f>
        <v>202205290230</v>
      </c>
      <c r="D62" s="13">
        <v>73.4</v>
      </c>
      <c r="E62" s="14">
        <v>92.5</v>
      </c>
      <c r="F62" s="14">
        <f t="shared" si="0"/>
        <v>165.9</v>
      </c>
      <c r="G62" s="14">
        <f t="shared" si="1"/>
        <v>70.7166666666667</v>
      </c>
    </row>
    <row r="63" s="1" customFormat="1" ht="18" customHeight="1" spans="1:7">
      <c r="A63" s="12">
        <v>61</v>
      </c>
      <c r="B63" s="12" t="s">
        <v>10</v>
      </c>
      <c r="C63" s="12" t="str">
        <f>"202205290301"</f>
        <v>202205290301</v>
      </c>
      <c r="D63" s="13">
        <v>75.6</v>
      </c>
      <c r="E63" s="14">
        <v>93</v>
      </c>
      <c r="F63" s="14">
        <f t="shared" si="0"/>
        <v>168.6</v>
      </c>
      <c r="G63" s="14">
        <f t="shared" si="1"/>
        <v>71.7</v>
      </c>
    </row>
    <row r="64" s="1" customFormat="1" ht="18" customHeight="1" spans="1:7">
      <c r="A64" s="12">
        <v>62</v>
      </c>
      <c r="B64" s="12" t="s">
        <v>10</v>
      </c>
      <c r="C64" s="12" t="str">
        <f>"202205290302"</f>
        <v>202205290302</v>
      </c>
      <c r="D64" s="13">
        <v>0</v>
      </c>
      <c r="E64" s="14">
        <v>0</v>
      </c>
      <c r="F64" s="14">
        <f t="shared" si="0"/>
        <v>0</v>
      </c>
      <c r="G64" s="14">
        <f t="shared" si="1"/>
        <v>0</v>
      </c>
    </row>
    <row r="65" s="1" customFormat="1" ht="18" customHeight="1" spans="1:7">
      <c r="A65" s="12">
        <v>63</v>
      </c>
      <c r="B65" s="12" t="s">
        <v>10</v>
      </c>
      <c r="C65" s="12" t="str">
        <f>"202205290303"</f>
        <v>202205290303</v>
      </c>
      <c r="D65" s="13">
        <v>0</v>
      </c>
      <c r="E65" s="14">
        <v>0</v>
      </c>
      <c r="F65" s="14">
        <f t="shared" si="0"/>
        <v>0</v>
      </c>
      <c r="G65" s="14">
        <f t="shared" si="1"/>
        <v>0</v>
      </c>
    </row>
    <row r="66" s="1" customFormat="1" ht="18" customHeight="1" spans="1:7">
      <c r="A66" s="12">
        <v>64</v>
      </c>
      <c r="B66" s="12" t="s">
        <v>10</v>
      </c>
      <c r="C66" s="12" t="str">
        <f>"202205290304"</f>
        <v>202205290304</v>
      </c>
      <c r="D66" s="13">
        <v>70</v>
      </c>
      <c r="E66" s="14">
        <v>73.75</v>
      </c>
      <c r="F66" s="14">
        <f t="shared" si="0"/>
        <v>143.75</v>
      </c>
      <c r="G66" s="14">
        <f t="shared" si="1"/>
        <v>60.2083333333333</v>
      </c>
    </row>
    <row r="67" s="1" customFormat="1" ht="18" customHeight="1" spans="1:7">
      <c r="A67" s="12">
        <v>65</v>
      </c>
      <c r="B67" s="12" t="s">
        <v>10</v>
      </c>
      <c r="C67" s="12" t="str">
        <f>"202205290305"</f>
        <v>202205290305</v>
      </c>
      <c r="D67" s="13">
        <v>74</v>
      </c>
      <c r="E67" s="14">
        <v>53</v>
      </c>
      <c r="F67" s="14">
        <f t="shared" si="0"/>
        <v>127</v>
      </c>
      <c r="G67" s="14">
        <f t="shared" si="1"/>
        <v>51.1666666666667</v>
      </c>
    </row>
    <row r="68" s="1" customFormat="1" ht="18" customHeight="1" spans="1:7">
      <c r="A68" s="12">
        <v>66</v>
      </c>
      <c r="B68" s="12" t="s">
        <v>10</v>
      </c>
      <c r="C68" s="12" t="str">
        <f>"202205290306"</f>
        <v>202205290306</v>
      </c>
      <c r="D68" s="13">
        <v>77</v>
      </c>
      <c r="E68" s="14">
        <v>95</v>
      </c>
      <c r="F68" s="14">
        <f t="shared" ref="F68:F131" si="2">D68+E68</f>
        <v>172</v>
      </c>
      <c r="G68" s="14">
        <f t="shared" ref="G68:G131" si="3">D68/1.2*0.4+E68/1.2*0.6</f>
        <v>73.1666666666667</v>
      </c>
    </row>
    <row r="69" s="1" customFormat="1" ht="18" customHeight="1" spans="1:7">
      <c r="A69" s="12">
        <v>67</v>
      </c>
      <c r="B69" s="12" t="s">
        <v>10</v>
      </c>
      <c r="C69" s="12" t="str">
        <f>"202205290307"</f>
        <v>202205290307</v>
      </c>
      <c r="D69" s="13">
        <v>40.2</v>
      </c>
      <c r="E69" s="14">
        <v>68</v>
      </c>
      <c r="F69" s="14">
        <f t="shared" si="2"/>
        <v>108.2</v>
      </c>
      <c r="G69" s="14">
        <f t="shared" si="3"/>
        <v>47.4</v>
      </c>
    </row>
    <row r="70" s="1" customFormat="1" ht="18" customHeight="1" spans="1:7">
      <c r="A70" s="12">
        <v>68</v>
      </c>
      <c r="B70" s="12" t="s">
        <v>10</v>
      </c>
      <c r="C70" s="12" t="str">
        <f>"202205290308"</f>
        <v>202205290308</v>
      </c>
      <c r="D70" s="13">
        <v>70.2</v>
      </c>
      <c r="E70" s="14">
        <v>85</v>
      </c>
      <c r="F70" s="14">
        <f t="shared" si="2"/>
        <v>155.2</v>
      </c>
      <c r="G70" s="14">
        <f t="shared" si="3"/>
        <v>65.9</v>
      </c>
    </row>
    <row r="71" s="1" customFormat="1" ht="18" customHeight="1" spans="1:7">
      <c r="A71" s="12">
        <v>69</v>
      </c>
      <c r="B71" s="12" t="s">
        <v>10</v>
      </c>
      <c r="C71" s="12" t="str">
        <f>"202205290309"</f>
        <v>202205290309</v>
      </c>
      <c r="D71" s="13">
        <v>80.6</v>
      </c>
      <c r="E71" s="14">
        <v>100</v>
      </c>
      <c r="F71" s="14">
        <f t="shared" si="2"/>
        <v>180.6</v>
      </c>
      <c r="G71" s="14">
        <f t="shared" si="3"/>
        <v>76.8666666666667</v>
      </c>
    </row>
    <row r="72" s="1" customFormat="1" ht="18" customHeight="1" spans="1:7">
      <c r="A72" s="12">
        <v>70</v>
      </c>
      <c r="B72" s="12" t="s">
        <v>10</v>
      </c>
      <c r="C72" s="12" t="str">
        <f>"202205290310"</f>
        <v>202205290310</v>
      </c>
      <c r="D72" s="13">
        <v>0</v>
      </c>
      <c r="E72" s="14">
        <v>0</v>
      </c>
      <c r="F72" s="14">
        <f t="shared" si="2"/>
        <v>0</v>
      </c>
      <c r="G72" s="14">
        <f t="shared" si="3"/>
        <v>0</v>
      </c>
    </row>
    <row r="73" s="1" customFormat="1" ht="18" customHeight="1" spans="1:7">
      <c r="A73" s="12">
        <v>71</v>
      </c>
      <c r="B73" s="12" t="s">
        <v>10</v>
      </c>
      <c r="C73" s="12" t="str">
        <f>"202205290311"</f>
        <v>202205290311</v>
      </c>
      <c r="D73" s="13">
        <v>62</v>
      </c>
      <c r="E73" s="14">
        <v>56</v>
      </c>
      <c r="F73" s="14">
        <f t="shared" si="2"/>
        <v>118</v>
      </c>
      <c r="G73" s="14">
        <f t="shared" si="3"/>
        <v>48.6666666666667</v>
      </c>
    </row>
    <row r="74" s="1" customFormat="1" ht="18" customHeight="1" spans="1:7">
      <c r="A74" s="12">
        <v>72</v>
      </c>
      <c r="B74" s="12" t="s">
        <v>10</v>
      </c>
      <c r="C74" s="12" t="str">
        <f>"202205290312"</f>
        <v>202205290312</v>
      </c>
      <c r="D74" s="13">
        <v>84</v>
      </c>
      <c r="E74" s="14">
        <v>83.5</v>
      </c>
      <c r="F74" s="14">
        <f t="shared" si="2"/>
        <v>167.5</v>
      </c>
      <c r="G74" s="14">
        <f t="shared" si="3"/>
        <v>69.75</v>
      </c>
    </row>
    <row r="75" s="1" customFormat="1" ht="18" customHeight="1" spans="1:7">
      <c r="A75" s="12">
        <v>73</v>
      </c>
      <c r="B75" s="12" t="s">
        <v>10</v>
      </c>
      <c r="C75" s="12" t="str">
        <f>"202205290313"</f>
        <v>202205290313</v>
      </c>
      <c r="D75" s="13">
        <v>69.2</v>
      </c>
      <c r="E75" s="14">
        <v>69.5</v>
      </c>
      <c r="F75" s="14">
        <f t="shared" si="2"/>
        <v>138.7</v>
      </c>
      <c r="G75" s="14">
        <f t="shared" si="3"/>
        <v>57.8166666666667</v>
      </c>
    </row>
    <row r="76" s="1" customFormat="1" ht="18" customHeight="1" spans="1:7">
      <c r="A76" s="12">
        <v>74</v>
      </c>
      <c r="B76" s="12" t="s">
        <v>10</v>
      </c>
      <c r="C76" s="12" t="str">
        <f>"202205290314"</f>
        <v>202205290314</v>
      </c>
      <c r="D76" s="13">
        <v>63.6</v>
      </c>
      <c r="E76" s="14">
        <v>82</v>
      </c>
      <c r="F76" s="14">
        <f t="shared" si="2"/>
        <v>145.6</v>
      </c>
      <c r="G76" s="14">
        <f t="shared" si="3"/>
        <v>62.2</v>
      </c>
    </row>
    <row r="77" s="1" customFormat="1" ht="18" customHeight="1" spans="1:7">
      <c r="A77" s="12">
        <v>75</v>
      </c>
      <c r="B77" s="12" t="s">
        <v>10</v>
      </c>
      <c r="C77" s="12" t="str">
        <f>"202205290315"</f>
        <v>202205290315</v>
      </c>
      <c r="D77" s="13">
        <v>0</v>
      </c>
      <c r="E77" s="14">
        <v>0</v>
      </c>
      <c r="F77" s="14">
        <f t="shared" si="2"/>
        <v>0</v>
      </c>
      <c r="G77" s="14">
        <f t="shared" si="3"/>
        <v>0</v>
      </c>
    </row>
    <row r="78" s="1" customFormat="1" ht="18" customHeight="1" spans="1:7">
      <c r="A78" s="12">
        <v>76</v>
      </c>
      <c r="B78" s="12" t="s">
        <v>10</v>
      </c>
      <c r="C78" s="12" t="str">
        <f>"202205290316"</f>
        <v>202205290316</v>
      </c>
      <c r="D78" s="13">
        <v>78</v>
      </c>
      <c r="E78" s="14">
        <v>89</v>
      </c>
      <c r="F78" s="14">
        <f t="shared" si="2"/>
        <v>167</v>
      </c>
      <c r="G78" s="14">
        <f t="shared" si="3"/>
        <v>70.5</v>
      </c>
    </row>
    <row r="79" s="1" customFormat="1" ht="18" customHeight="1" spans="1:7">
      <c r="A79" s="12">
        <v>77</v>
      </c>
      <c r="B79" s="12" t="s">
        <v>10</v>
      </c>
      <c r="C79" s="12" t="str">
        <f>"202205290317"</f>
        <v>202205290317</v>
      </c>
      <c r="D79" s="13">
        <v>23.6</v>
      </c>
      <c r="E79" s="14">
        <v>45.5</v>
      </c>
      <c r="F79" s="14">
        <f t="shared" si="2"/>
        <v>69.1</v>
      </c>
      <c r="G79" s="14">
        <f t="shared" si="3"/>
        <v>30.6166666666667</v>
      </c>
    </row>
    <row r="80" s="1" customFormat="1" ht="18" customHeight="1" spans="1:7">
      <c r="A80" s="12">
        <v>78</v>
      </c>
      <c r="B80" s="12" t="s">
        <v>10</v>
      </c>
      <c r="C80" s="12" t="str">
        <f>"202205290318"</f>
        <v>202205290318</v>
      </c>
      <c r="D80" s="13">
        <v>78.8</v>
      </c>
      <c r="E80" s="14">
        <v>77.5</v>
      </c>
      <c r="F80" s="14">
        <f t="shared" si="2"/>
        <v>156.3</v>
      </c>
      <c r="G80" s="14">
        <f t="shared" si="3"/>
        <v>65.0166666666667</v>
      </c>
    </row>
    <row r="81" s="1" customFormat="1" ht="18" customHeight="1" spans="1:7">
      <c r="A81" s="12">
        <v>79</v>
      </c>
      <c r="B81" s="12" t="s">
        <v>10</v>
      </c>
      <c r="C81" s="12" t="str">
        <f>"202205290319"</f>
        <v>202205290319</v>
      </c>
      <c r="D81" s="13">
        <v>71.8</v>
      </c>
      <c r="E81" s="14">
        <v>72.5</v>
      </c>
      <c r="F81" s="14">
        <f t="shared" si="2"/>
        <v>144.3</v>
      </c>
      <c r="G81" s="14">
        <f t="shared" si="3"/>
        <v>60.1833333333333</v>
      </c>
    </row>
    <row r="82" s="1" customFormat="1" ht="18" customHeight="1" spans="1:7">
      <c r="A82" s="12">
        <v>80</v>
      </c>
      <c r="B82" s="12" t="s">
        <v>10</v>
      </c>
      <c r="C82" s="12" t="str">
        <f>"202205290320"</f>
        <v>202205290320</v>
      </c>
      <c r="D82" s="13">
        <v>71.2</v>
      </c>
      <c r="E82" s="14">
        <v>65.5</v>
      </c>
      <c r="F82" s="14">
        <f t="shared" si="2"/>
        <v>136.7</v>
      </c>
      <c r="G82" s="14">
        <f t="shared" si="3"/>
        <v>56.4833333333333</v>
      </c>
    </row>
    <row r="83" s="1" customFormat="1" ht="18" customHeight="1" spans="1:7">
      <c r="A83" s="12">
        <v>81</v>
      </c>
      <c r="B83" s="12" t="s">
        <v>10</v>
      </c>
      <c r="C83" s="12" t="str">
        <f>"202205290321"</f>
        <v>202205290321</v>
      </c>
      <c r="D83" s="13">
        <v>72.8</v>
      </c>
      <c r="E83" s="14">
        <v>88</v>
      </c>
      <c r="F83" s="14">
        <f t="shared" si="2"/>
        <v>160.8</v>
      </c>
      <c r="G83" s="14">
        <f t="shared" si="3"/>
        <v>68.2666666666667</v>
      </c>
    </row>
    <row r="84" s="1" customFormat="1" ht="18" customHeight="1" spans="1:7">
      <c r="A84" s="12">
        <v>82</v>
      </c>
      <c r="B84" s="12" t="s">
        <v>10</v>
      </c>
      <c r="C84" s="12" t="str">
        <f>"202205290322"</f>
        <v>202205290322</v>
      </c>
      <c r="D84" s="13">
        <v>0</v>
      </c>
      <c r="E84" s="14">
        <v>0</v>
      </c>
      <c r="F84" s="14">
        <f t="shared" si="2"/>
        <v>0</v>
      </c>
      <c r="G84" s="14">
        <f t="shared" si="3"/>
        <v>0</v>
      </c>
    </row>
    <row r="85" s="1" customFormat="1" ht="18" customHeight="1" spans="1:7">
      <c r="A85" s="12">
        <v>83</v>
      </c>
      <c r="B85" s="12" t="s">
        <v>10</v>
      </c>
      <c r="C85" s="12" t="str">
        <f>"202205290323"</f>
        <v>202205290323</v>
      </c>
      <c r="D85" s="13">
        <v>0</v>
      </c>
      <c r="E85" s="14">
        <v>0</v>
      </c>
      <c r="F85" s="14">
        <f t="shared" si="2"/>
        <v>0</v>
      </c>
      <c r="G85" s="14">
        <f t="shared" si="3"/>
        <v>0</v>
      </c>
    </row>
    <row r="86" s="1" customFormat="1" ht="18" customHeight="1" spans="1:7">
      <c r="A86" s="12">
        <v>84</v>
      </c>
      <c r="B86" s="12" t="s">
        <v>10</v>
      </c>
      <c r="C86" s="12" t="str">
        <f>"202205290324"</f>
        <v>202205290324</v>
      </c>
      <c r="D86" s="13">
        <v>81</v>
      </c>
      <c r="E86" s="14">
        <v>90</v>
      </c>
      <c r="F86" s="14">
        <f t="shared" si="2"/>
        <v>171</v>
      </c>
      <c r="G86" s="14">
        <f t="shared" si="3"/>
        <v>72</v>
      </c>
    </row>
    <row r="87" s="1" customFormat="1" ht="18" customHeight="1" spans="1:7">
      <c r="A87" s="12">
        <v>85</v>
      </c>
      <c r="B87" s="12" t="s">
        <v>10</v>
      </c>
      <c r="C87" s="12" t="str">
        <f>"202205290325"</f>
        <v>202205290325</v>
      </c>
      <c r="D87" s="13">
        <v>44.8</v>
      </c>
      <c r="E87" s="14">
        <v>50.5</v>
      </c>
      <c r="F87" s="14">
        <f t="shared" si="2"/>
        <v>95.3</v>
      </c>
      <c r="G87" s="14">
        <f t="shared" si="3"/>
        <v>40.1833333333333</v>
      </c>
    </row>
    <row r="88" s="1" customFormat="1" ht="18" customHeight="1" spans="1:7">
      <c r="A88" s="12">
        <v>86</v>
      </c>
      <c r="B88" s="12" t="s">
        <v>10</v>
      </c>
      <c r="C88" s="12" t="str">
        <f>"202205290326"</f>
        <v>202205290326</v>
      </c>
      <c r="D88" s="13">
        <v>0</v>
      </c>
      <c r="E88" s="14">
        <v>0</v>
      </c>
      <c r="F88" s="14">
        <f t="shared" si="2"/>
        <v>0</v>
      </c>
      <c r="G88" s="14">
        <f t="shared" si="3"/>
        <v>0</v>
      </c>
    </row>
    <row r="89" s="1" customFormat="1" ht="18" customHeight="1" spans="1:7">
      <c r="A89" s="12">
        <v>87</v>
      </c>
      <c r="B89" s="12" t="s">
        <v>10</v>
      </c>
      <c r="C89" s="12" t="str">
        <f>"202205290327"</f>
        <v>202205290327</v>
      </c>
      <c r="D89" s="13">
        <v>69.6</v>
      </c>
      <c r="E89" s="14">
        <v>96</v>
      </c>
      <c r="F89" s="14">
        <f t="shared" si="2"/>
        <v>165.6</v>
      </c>
      <c r="G89" s="14">
        <f t="shared" si="3"/>
        <v>71.2</v>
      </c>
    </row>
    <row r="90" s="1" customFormat="1" ht="18" customHeight="1" spans="1:7">
      <c r="A90" s="12">
        <v>88</v>
      </c>
      <c r="B90" s="12" t="s">
        <v>10</v>
      </c>
      <c r="C90" s="12" t="str">
        <f>"202205290328"</f>
        <v>202205290328</v>
      </c>
      <c r="D90" s="13">
        <v>73.2</v>
      </c>
      <c r="E90" s="14">
        <v>82</v>
      </c>
      <c r="F90" s="14">
        <f t="shared" si="2"/>
        <v>155.2</v>
      </c>
      <c r="G90" s="14">
        <f t="shared" si="3"/>
        <v>65.4</v>
      </c>
    </row>
    <row r="91" s="1" customFormat="1" ht="18" customHeight="1" spans="1:7">
      <c r="A91" s="12">
        <v>89</v>
      </c>
      <c r="B91" s="12" t="s">
        <v>10</v>
      </c>
      <c r="C91" s="12" t="str">
        <f>"202205290329"</f>
        <v>202205290329</v>
      </c>
      <c r="D91" s="13">
        <v>0</v>
      </c>
      <c r="E91" s="14">
        <v>0</v>
      </c>
      <c r="F91" s="14">
        <f t="shared" si="2"/>
        <v>0</v>
      </c>
      <c r="G91" s="14">
        <f t="shared" si="3"/>
        <v>0</v>
      </c>
    </row>
    <row r="92" s="1" customFormat="1" ht="18" customHeight="1" spans="1:7">
      <c r="A92" s="12">
        <v>90</v>
      </c>
      <c r="B92" s="12" t="s">
        <v>10</v>
      </c>
      <c r="C92" s="12" t="str">
        <f>"202205290330"</f>
        <v>202205290330</v>
      </c>
      <c r="D92" s="13">
        <v>68.8</v>
      </c>
      <c r="E92" s="14">
        <v>66.25</v>
      </c>
      <c r="F92" s="14">
        <f t="shared" si="2"/>
        <v>135.05</v>
      </c>
      <c r="G92" s="14">
        <f t="shared" si="3"/>
        <v>56.0583333333333</v>
      </c>
    </row>
    <row r="93" s="1" customFormat="1" ht="18" customHeight="1" spans="1:7">
      <c r="A93" s="12">
        <v>91</v>
      </c>
      <c r="B93" s="12" t="s">
        <v>10</v>
      </c>
      <c r="C93" s="12" t="str">
        <f>"202205290401"</f>
        <v>202205290401</v>
      </c>
      <c r="D93" s="13">
        <v>86.6</v>
      </c>
      <c r="E93" s="14">
        <v>91</v>
      </c>
      <c r="F93" s="14">
        <f t="shared" si="2"/>
        <v>177.6</v>
      </c>
      <c r="G93" s="14">
        <f t="shared" si="3"/>
        <v>74.3666666666667</v>
      </c>
    </row>
    <row r="94" s="1" customFormat="1" ht="18" customHeight="1" spans="1:7">
      <c r="A94" s="12">
        <v>92</v>
      </c>
      <c r="B94" s="12" t="s">
        <v>10</v>
      </c>
      <c r="C94" s="12" t="str">
        <f>"202205290402"</f>
        <v>202205290402</v>
      </c>
      <c r="D94" s="13">
        <v>63.4</v>
      </c>
      <c r="E94" s="14">
        <v>59.5</v>
      </c>
      <c r="F94" s="14">
        <f t="shared" si="2"/>
        <v>122.9</v>
      </c>
      <c r="G94" s="14">
        <f t="shared" si="3"/>
        <v>50.8833333333333</v>
      </c>
    </row>
    <row r="95" s="1" customFormat="1" ht="18" customHeight="1" spans="1:7">
      <c r="A95" s="12">
        <v>93</v>
      </c>
      <c r="B95" s="12" t="s">
        <v>10</v>
      </c>
      <c r="C95" s="12" t="str">
        <f>"202205290403"</f>
        <v>202205290403</v>
      </c>
      <c r="D95" s="13">
        <v>66.2</v>
      </c>
      <c r="E95" s="14">
        <v>64</v>
      </c>
      <c r="F95" s="14">
        <f t="shared" si="2"/>
        <v>130.2</v>
      </c>
      <c r="G95" s="14">
        <f t="shared" si="3"/>
        <v>54.0666666666667</v>
      </c>
    </row>
    <row r="96" s="1" customFormat="1" ht="18" customHeight="1" spans="1:7">
      <c r="A96" s="12">
        <v>94</v>
      </c>
      <c r="B96" s="12" t="s">
        <v>10</v>
      </c>
      <c r="C96" s="12" t="str">
        <f>"202205290404"</f>
        <v>202205290404</v>
      </c>
      <c r="D96" s="13">
        <v>81.8</v>
      </c>
      <c r="E96" s="14">
        <v>86.5</v>
      </c>
      <c r="F96" s="14">
        <f t="shared" si="2"/>
        <v>168.3</v>
      </c>
      <c r="G96" s="14">
        <f t="shared" si="3"/>
        <v>70.5166666666667</v>
      </c>
    </row>
    <row r="97" s="1" customFormat="1" ht="18" customHeight="1" spans="1:7">
      <c r="A97" s="12">
        <v>95</v>
      </c>
      <c r="B97" s="12" t="s">
        <v>10</v>
      </c>
      <c r="C97" s="12" t="str">
        <f>"202205290405"</f>
        <v>202205290405</v>
      </c>
      <c r="D97" s="13">
        <v>74.4</v>
      </c>
      <c r="E97" s="14">
        <v>79.25</v>
      </c>
      <c r="F97" s="14">
        <f t="shared" si="2"/>
        <v>153.65</v>
      </c>
      <c r="G97" s="14">
        <f t="shared" si="3"/>
        <v>64.425</v>
      </c>
    </row>
    <row r="98" s="1" customFormat="1" ht="18" customHeight="1" spans="1:7">
      <c r="A98" s="12">
        <v>96</v>
      </c>
      <c r="B98" s="12" t="s">
        <v>11</v>
      </c>
      <c r="C98" s="12" t="str">
        <f>"202205290406"</f>
        <v>202205290406</v>
      </c>
      <c r="D98" s="13">
        <v>82.2</v>
      </c>
      <c r="E98" s="14">
        <v>51</v>
      </c>
      <c r="F98" s="14">
        <f t="shared" si="2"/>
        <v>133.2</v>
      </c>
      <c r="G98" s="14">
        <f t="shared" si="3"/>
        <v>52.9</v>
      </c>
    </row>
    <row r="99" s="1" customFormat="1" ht="18" customHeight="1" spans="1:7">
      <c r="A99" s="12">
        <v>97</v>
      </c>
      <c r="B99" s="12" t="s">
        <v>11</v>
      </c>
      <c r="C99" s="12" t="str">
        <f>"202205290407"</f>
        <v>202205290407</v>
      </c>
      <c r="D99" s="13">
        <v>68.6</v>
      </c>
      <c r="E99" s="14">
        <v>35</v>
      </c>
      <c r="F99" s="14">
        <f t="shared" si="2"/>
        <v>103.6</v>
      </c>
      <c r="G99" s="14">
        <f t="shared" si="3"/>
        <v>40.3666666666667</v>
      </c>
    </row>
    <row r="100" s="1" customFormat="1" ht="18" customHeight="1" spans="1:7">
      <c r="A100" s="12">
        <v>98</v>
      </c>
      <c r="B100" s="12" t="s">
        <v>11</v>
      </c>
      <c r="C100" s="12" t="str">
        <f>"202205290408"</f>
        <v>202205290408</v>
      </c>
      <c r="D100" s="13">
        <v>0</v>
      </c>
      <c r="E100" s="14">
        <v>0</v>
      </c>
      <c r="F100" s="14">
        <f t="shared" si="2"/>
        <v>0</v>
      </c>
      <c r="G100" s="14">
        <f t="shared" si="3"/>
        <v>0</v>
      </c>
    </row>
    <row r="101" s="1" customFormat="1" ht="18" customHeight="1" spans="1:7">
      <c r="A101" s="12">
        <v>99</v>
      </c>
      <c r="B101" s="12" t="s">
        <v>11</v>
      </c>
      <c r="C101" s="12" t="str">
        <f>"202205290409"</f>
        <v>202205290409</v>
      </c>
      <c r="D101" s="13">
        <v>0</v>
      </c>
      <c r="E101" s="14">
        <v>0</v>
      </c>
      <c r="F101" s="14">
        <f t="shared" si="2"/>
        <v>0</v>
      </c>
      <c r="G101" s="14">
        <f t="shared" si="3"/>
        <v>0</v>
      </c>
    </row>
    <row r="102" s="1" customFormat="1" ht="18" customHeight="1" spans="1:7">
      <c r="A102" s="12">
        <v>100</v>
      </c>
      <c r="B102" s="12" t="s">
        <v>11</v>
      </c>
      <c r="C102" s="12" t="str">
        <f>"202205290410"</f>
        <v>202205290410</v>
      </c>
      <c r="D102" s="13">
        <v>77.4</v>
      </c>
      <c r="E102" s="14">
        <v>50</v>
      </c>
      <c r="F102" s="14">
        <f t="shared" si="2"/>
        <v>127.4</v>
      </c>
      <c r="G102" s="14">
        <f t="shared" si="3"/>
        <v>50.8</v>
      </c>
    </row>
    <row r="103" s="1" customFormat="1" ht="18" customHeight="1" spans="1:7">
      <c r="A103" s="12">
        <v>101</v>
      </c>
      <c r="B103" s="12" t="s">
        <v>11</v>
      </c>
      <c r="C103" s="12" t="str">
        <f>"202205290411"</f>
        <v>202205290411</v>
      </c>
      <c r="D103" s="13">
        <v>74.8</v>
      </c>
      <c r="E103" s="14">
        <v>43.75</v>
      </c>
      <c r="F103" s="14">
        <f t="shared" si="2"/>
        <v>118.55</v>
      </c>
      <c r="G103" s="14">
        <f t="shared" si="3"/>
        <v>46.8083333333333</v>
      </c>
    </row>
    <row r="104" s="1" customFormat="1" ht="18" customHeight="1" spans="1:7">
      <c r="A104" s="12">
        <v>102</v>
      </c>
      <c r="B104" s="12" t="s">
        <v>11</v>
      </c>
      <c r="C104" s="12" t="str">
        <f>"202205290412"</f>
        <v>202205290412</v>
      </c>
      <c r="D104" s="13">
        <v>71.6</v>
      </c>
      <c r="E104" s="14">
        <v>61.75</v>
      </c>
      <c r="F104" s="14">
        <f t="shared" si="2"/>
        <v>133.35</v>
      </c>
      <c r="G104" s="14">
        <f t="shared" si="3"/>
        <v>54.7416666666667</v>
      </c>
    </row>
    <row r="105" s="1" customFormat="1" ht="18" customHeight="1" spans="1:7">
      <c r="A105" s="12">
        <v>103</v>
      </c>
      <c r="B105" s="12" t="s">
        <v>11</v>
      </c>
      <c r="C105" s="12" t="str">
        <f>"202205290413"</f>
        <v>202205290413</v>
      </c>
      <c r="D105" s="13">
        <v>79.4</v>
      </c>
      <c r="E105" s="14">
        <v>82.5</v>
      </c>
      <c r="F105" s="14">
        <f t="shared" si="2"/>
        <v>161.9</v>
      </c>
      <c r="G105" s="14">
        <f t="shared" si="3"/>
        <v>67.7166666666667</v>
      </c>
    </row>
    <row r="106" s="1" customFormat="1" ht="18" customHeight="1" spans="1:7">
      <c r="A106" s="12">
        <v>104</v>
      </c>
      <c r="B106" s="12" t="s">
        <v>11</v>
      </c>
      <c r="C106" s="12" t="str">
        <f>"202205290414"</f>
        <v>202205290414</v>
      </c>
      <c r="D106" s="13">
        <v>0</v>
      </c>
      <c r="E106" s="14">
        <v>0</v>
      </c>
      <c r="F106" s="14">
        <f t="shared" si="2"/>
        <v>0</v>
      </c>
      <c r="G106" s="14">
        <f t="shared" si="3"/>
        <v>0</v>
      </c>
    </row>
    <row r="107" s="1" customFormat="1" ht="18" customHeight="1" spans="1:7">
      <c r="A107" s="12">
        <v>105</v>
      </c>
      <c r="B107" s="12" t="s">
        <v>11</v>
      </c>
      <c r="C107" s="12" t="str">
        <f>"202205290415"</f>
        <v>202205290415</v>
      </c>
      <c r="D107" s="13">
        <v>0</v>
      </c>
      <c r="E107" s="14">
        <v>0</v>
      </c>
      <c r="F107" s="14">
        <f t="shared" si="2"/>
        <v>0</v>
      </c>
      <c r="G107" s="14">
        <f t="shared" si="3"/>
        <v>0</v>
      </c>
    </row>
    <row r="108" s="1" customFormat="1" ht="18" customHeight="1" spans="1:7">
      <c r="A108" s="12">
        <v>106</v>
      </c>
      <c r="B108" s="12" t="s">
        <v>11</v>
      </c>
      <c r="C108" s="12" t="str">
        <f>"202205290416"</f>
        <v>202205290416</v>
      </c>
      <c r="D108" s="13">
        <v>83</v>
      </c>
      <c r="E108" s="14">
        <v>91</v>
      </c>
      <c r="F108" s="14">
        <f t="shared" si="2"/>
        <v>174</v>
      </c>
      <c r="G108" s="14">
        <f t="shared" si="3"/>
        <v>73.1666666666667</v>
      </c>
    </row>
    <row r="109" s="1" customFormat="1" ht="18" customHeight="1" spans="1:7">
      <c r="A109" s="12">
        <v>107</v>
      </c>
      <c r="B109" s="12" t="s">
        <v>11</v>
      </c>
      <c r="C109" s="12" t="str">
        <f>"202205290417"</f>
        <v>202205290417</v>
      </c>
      <c r="D109" s="13">
        <v>0</v>
      </c>
      <c r="E109" s="14">
        <v>0</v>
      </c>
      <c r="F109" s="14">
        <f t="shared" si="2"/>
        <v>0</v>
      </c>
      <c r="G109" s="14">
        <f t="shared" si="3"/>
        <v>0</v>
      </c>
    </row>
    <row r="110" s="1" customFormat="1" ht="18" customHeight="1" spans="1:7">
      <c r="A110" s="12">
        <v>108</v>
      </c>
      <c r="B110" s="12" t="s">
        <v>11</v>
      </c>
      <c r="C110" s="12" t="str">
        <f>"202205290418"</f>
        <v>202205290418</v>
      </c>
      <c r="D110" s="13">
        <v>80.8</v>
      </c>
      <c r="E110" s="14">
        <v>48</v>
      </c>
      <c r="F110" s="14">
        <f t="shared" si="2"/>
        <v>128.8</v>
      </c>
      <c r="G110" s="14">
        <f t="shared" si="3"/>
        <v>50.9333333333333</v>
      </c>
    </row>
    <row r="111" s="1" customFormat="1" ht="18" customHeight="1" spans="1:7">
      <c r="A111" s="12">
        <v>109</v>
      </c>
      <c r="B111" s="12" t="s">
        <v>11</v>
      </c>
      <c r="C111" s="12" t="str">
        <f>"202205290419"</f>
        <v>202205290419</v>
      </c>
      <c r="D111" s="13">
        <v>0</v>
      </c>
      <c r="E111" s="14">
        <v>0</v>
      </c>
      <c r="F111" s="14">
        <f t="shared" si="2"/>
        <v>0</v>
      </c>
      <c r="G111" s="14">
        <f t="shared" si="3"/>
        <v>0</v>
      </c>
    </row>
    <row r="112" s="1" customFormat="1" ht="18" customHeight="1" spans="1:7">
      <c r="A112" s="12">
        <v>110</v>
      </c>
      <c r="B112" s="12" t="s">
        <v>11</v>
      </c>
      <c r="C112" s="12" t="str">
        <f>"202205290420"</f>
        <v>202205290420</v>
      </c>
      <c r="D112" s="13">
        <v>0</v>
      </c>
      <c r="E112" s="14">
        <v>0</v>
      </c>
      <c r="F112" s="14">
        <f t="shared" si="2"/>
        <v>0</v>
      </c>
      <c r="G112" s="14">
        <f t="shared" si="3"/>
        <v>0</v>
      </c>
    </row>
    <row r="113" s="1" customFormat="1" ht="18" customHeight="1" spans="1:7">
      <c r="A113" s="12">
        <v>111</v>
      </c>
      <c r="B113" s="12" t="s">
        <v>11</v>
      </c>
      <c r="C113" s="12" t="str">
        <f>"202205290421"</f>
        <v>202205290421</v>
      </c>
      <c r="D113" s="13">
        <v>80.2</v>
      </c>
      <c r="E113" s="14">
        <v>84</v>
      </c>
      <c r="F113" s="14">
        <f t="shared" si="2"/>
        <v>164.2</v>
      </c>
      <c r="G113" s="14">
        <f t="shared" si="3"/>
        <v>68.7333333333333</v>
      </c>
    </row>
    <row r="114" s="1" customFormat="1" ht="18" customHeight="1" spans="1:7">
      <c r="A114" s="12">
        <v>112</v>
      </c>
      <c r="B114" s="12" t="s">
        <v>11</v>
      </c>
      <c r="C114" s="12" t="str">
        <f>"202205290422"</f>
        <v>202205290422</v>
      </c>
      <c r="D114" s="13">
        <v>78.4</v>
      </c>
      <c r="E114" s="14">
        <v>88.5</v>
      </c>
      <c r="F114" s="14">
        <f t="shared" si="2"/>
        <v>166.9</v>
      </c>
      <c r="G114" s="14">
        <f t="shared" si="3"/>
        <v>70.3833333333333</v>
      </c>
    </row>
    <row r="115" s="1" customFormat="1" ht="18" customHeight="1" spans="1:7">
      <c r="A115" s="12">
        <v>113</v>
      </c>
      <c r="B115" s="12" t="s">
        <v>11</v>
      </c>
      <c r="C115" s="12" t="str">
        <f>"202205290423"</f>
        <v>202205290423</v>
      </c>
      <c r="D115" s="13">
        <v>0</v>
      </c>
      <c r="E115" s="14">
        <v>0</v>
      </c>
      <c r="F115" s="14">
        <f t="shared" si="2"/>
        <v>0</v>
      </c>
      <c r="G115" s="14">
        <f t="shared" si="3"/>
        <v>0</v>
      </c>
    </row>
    <row r="116" s="1" customFormat="1" ht="18" customHeight="1" spans="1:7">
      <c r="A116" s="12">
        <v>114</v>
      </c>
      <c r="B116" s="12" t="s">
        <v>11</v>
      </c>
      <c r="C116" s="12" t="str">
        <f>"202205290424"</f>
        <v>202205290424</v>
      </c>
      <c r="D116" s="13">
        <v>0</v>
      </c>
      <c r="E116" s="14">
        <v>0</v>
      </c>
      <c r="F116" s="14">
        <f t="shared" si="2"/>
        <v>0</v>
      </c>
      <c r="G116" s="14">
        <f t="shared" si="3"/>
        <v>0</v>
      </c>
    </row>
    <row r="117" s="1" customFormat="1" ht="18" customHeight="1" spans="1:7">
      <c r="A117" s="12">
        <v>115</v>
      </c>
      <c r="B117" s="12" t="s">
        <v>11</v>
      </c>
      <c r="C117" s="12" t="str">
        <f>"202205290425"</f>
        <v>202205290425</v>
      </c>
      <c r="D117" s="13">
        <v>72.8</v>
      </c>
      <c r="E117" s="14">
        <v>54.5</v>
      </c>
      <c r="F117" s="14">
        <f t="shared" si="2"/>
        <v>127.3</v>
      </c>
      <c r="G117" s="14">
        <f t="shared" si="3"/>
        <v>51.5166666666667</v>
      </c>
    </row>
    <row r="118" s="1" customFormat="1" ht="18" customHeight="1" spans="1:7">
      <c r="A118" s="12">
        <v>116</v>
      </c>
      <c r="B118" s="12" t="s">
        <v>11</v>
      </c>
      <c r="C118" s="12" t="str">
        <f>"202205290426"</f>
        <v>202205290426</v>
      </c>
      <c r="D118" s="13">
        <v>0</v>
      </c>
      <c r="E118" s="14">
        <v>0</v>
      </c>
      <c r="F118" s="14">
        <f t="shared" si="2"/>
        <v>0</v>
      </c>
      <c r="G118" s="14">
        <f t="shared" si="3"/>
        <v>0</v>
      </c>
    </row>
    <row r="119" s="1" customFormat="1" ht="18" customHeight="1" spans="1:7">
      <c r="A119" s="12">
        <v>117</v>
      </c>
      <c r="B119" s="12" t="s">
        <v>11</v>
      </c>
      <c r="C119" s="12" t="str">
        <f>"202205290427"</f>
        <v>202205290427</v>
      </c>
      <c r="D119" s="13">
        <v>71.6</v>
      </c>
      <c r="E119" s="14">
        <v>89</v>
      </c>
      <c r="F119" s="14">
        <f t="shared" si="2"/>
        <v>160.6</v>
      </c>
      <c r="G119" s="14">
        <f t="shared" si="3"/>
        <v>68.3666666666667</v>
      </c>
    </row>
    <row r="120" s="1" customFormat="1" ht="18" customHeight="1" spans="1:7">
      <c r="A120" s="12">
        <v>118</v>
      </c>
      <c r="B120" s="12" t="s">
        <v>11</v>
      </c>
      <c r="C120" s="12" t="str">
        <f>"202205290428"</f>
        <v>202205290428</v>
      </c>
      <c r="D120" s="13">
        <v>0</v>
      </c>
      <c r="E120" s="14">
        <v>0</v>
      </c>
      <c r="F120" s="14">
        <f t="shared" si="2"/>
        <v>0</v>
      </c>
      <c r="G120" s="14">
        <f t="shared" si="3"/>
        <v>0</v>
      </c>
    </row>
    <row r="121" s="1" customFormat="1" ht="18" customHeight="1" spans="1:7">
      <c r="A121" s="12">
        <v>119</v>
      </c>
      <c r="B121" s="12" t="s">
        <v>11</v>
      </c>
      <c r="C121" s="12" t="str">
        <f>"202205290429"</f>
        <v>202205290429</v>
      </c>
      <c r="D121" s="13">
        <v>79.2</v>
      </c>
      <c r="E121" s="14">
        <v>96</v>
      </c>
      <c r="F121" s="14">
        <f t="shared" si="2"/>
        <v>175.2</v>
      </c>
      <c r="G121" s="14">
        <f t="shared" si="3"/>
        <v>74.4</v>
      </c>
    </row>
    <row r="122" s="1" customFormat="1" ht="18" customHeight="1" spans="1:7">
      <c r="A122" s="12">
        <v>120</v>
      </c>
      <c r="B122" s="12" t="s">
        <v>11</v>
      </c>
      <c r="C122" s="12" t="str">
        <f>"202205290430"</f>
        <v>202205290430</v>
      </c>
      <c r="D122" s="13">
        <v>75.8</v>
      </c>
      <c r="E122" s="14">
        <v>98</v>
      </c>
      <c r="F122" s="14">
        <f t="shared" si="2"/>
        <v>173.8</v>
      </c>
      <c r="G122" s="14">
        <f t="shared" si="3"/>
        <v>74.2666666666667</v>
      </c>
    </row>
    <row r="123" s="1" customFormat="1" ht="18" customHeight="1" spans="1:7">
      <c r="A123" s="12">
        <v>121</v>
      </c>
      <c r="B123" s="12" t="s">
        <v>11</v>
      </c>
      <c r="C123" s="12" t="str">
        <f>"202205290501"</f>
        <v>202205290501</v>
      </c>
      <c r="D123" s="13">
        <v>71.6</v>
      </c>
      <c r="E123" s="14">
        <v>53</v>
      </c>
      <c r="F123" s="14">
        <f t="shared" si="2"/>
        <v>124.6</v>
      </c>
      <c r="G123" s="14">
        <f t="shared" si="3"/>
        <v>50.3666666666667</v>
      </c>
    </row>
    <row r="124" s="1" customFormat="1" ht="18" customHeight="1" spans="1:7">
      <c r="A124" s="12">
        <v>122</v>
      </c>
      <c r="B124" s="12" t="s">
        <v>11</v>
      </c>
      <c r="C124" s="12" t="str">
        <f>"202205290502"</f>
        <v>202205290502</v>
      </c>
      <c r="D124" s="13">
        <v>68.8</v>
      </c>
      <c r="E124" s="14">
        <v>78</v>
      </c>
      <c r="F124" s="14">
        <f t="shared" si="2"/>
        <v>146.8</v>
      </c>
      <c r="G124" s="14">
        <f t="shared" si="3"/>
        <v>61.9333333333333</v>
      </c>
    </row>
    <row r="125" s="1" customFormat="1" ht="18" customHeight="1" spans="1:7">
      <c r="A125" s="12">
        <v>123</v>
      </c>
      <c r="B125" s="12" t="s">
        <v>11</v>
      </c>
      <c r="C125" s="12" t="str">
        <f>"202205290503"</f>
        <v>202205290503</v>
      </c>
      <c r="D125" s="13">
        <v>70</v>
      </c>
      <c r="E125" s="14">
        <v>78.5</v>
      </c>
      <c r="F125" s="14">
        <f t="shared" si="2"/>
        <v>148.5</v>
      </c>
      <c r="G125" s="14">
        <f t="shared" si="3"/>
        <v>62.5833333333333</v>
      </c>
    </row>
    <row r="126" s="1" customFormat="1" ht="18" customHeight="1" spans="1:7">
      <c r="A126" s="12">
        <v>124</v>
      </c>
      <c r="B126" s="12" t="s">
        <v>11</v>
      </c>
      <c r="C126" s="12" t="str">
        <f>"202205290504"</f>
        <v>202205290504</v>
      </c>
      <c r="D126" s="13">
        <v>79</v>
      </c>
      <c r="E126" s="14">
        <v>63</v>
      </c>
      <c r="F126" s="14">
        <f t="shared" si="2"/>
        <v>142</v>
      </c>
      <c r="G126" s="14">
        <f t="shared" si="3"/>
        <v>57.8333333333333</v>
      </c>
    </row>
    <row r="127" s="1" customFormat="1" ht="18" customHeight="1" spans="1:7">
      <c r="A127" s="12">
        <v>125</v>
      </c>
      <c r="B127" s="12" t="s">
        <v>11</v>
      </c>
      <c r="C127" s="12" t="str">
        <f>"202205290505"</f>
        <v>202205290505</v>
      </c>
      <c r="D127" s="13">
        <v>0</v>
      </c>
      <c r="E127" s="14">
        <v>0</v>
      </c>
      <c r="F127" s="14">
        <f t="shared" si="2"/>
        <v>0</v>
      </c>
      <c r="G127" s="14">
        <f t="shared" si="3"/>
        <v>0</v>
      </c>
    </row>
    <row r="128" s="1" customFormat="1" ht="18" customHeight="1" spans="1:7">
      <c r="A128" s="12">
        <v>126</v>
      </c>
      <c r="B128" s="12" t="s">
        <v>11</v>
      </c>
      <c r="C128" s="12" t="str">
        <f>"202205290506"</f>
        <v>202205290506</v>
      </c>
      <c r="D128" s="13">
        <v>66</v>
      </c>
      <c r="E128" s="14">
        <v>46</v>
      </c>
      <c r="F128" s="14">
        <f t="shared" si="2"/>
        <v>112</v>
      </c>
      <c r="G128" s="14">
        <f t="shared" si="3"/>
        <v>45</v>
      </c>
    </row>
    <row r="129" s="1" customFormat="1" ht="18" customHeight="1" spans="1:7">
      <c r="A129" s="12">
        <v>127</v>
      </c>
      <c r="B129" s="12" t="s">
        <v>11</v>
      </c>
      <c r="C129" s="12" t="str">
        <f>"202205290507"</f>
        <v>202205290507</v>
      </c>
      <c r="D129" s="13">
        <v>0</v>
      </c>
      <c r="E129" s="14">
        <v>0</v>
      </c>
      <c r="F129" s="14">
        <f t="shared" si="2"/>
        <v>0</v>
      </c>
      <c r="G129" s="14">
        <f t="shared" si="3"/>
        <v>0</v>
      </c>
    </row>
    <row r="130" s="1" customFormat="1" ht="18" customHeight="1" spans="1:7">
      <c r="A130" s="12">
        <v>128</v>
      </c>
      <c r="B130" s="12" t="s">
        <v>11</v>
      </c>
      <c r="C130" s="12" t="str">
        <f>"202205290508"</f>
        <v>202205290508</v>
      </c>
      <c r="D130" s="13">
        <v>0</v>
      </c>
      <c r="E130" s="14">
        <v>0</v>
      </c>
      <c r="F130" s="14">
        <f t="shared" si="2"/>
        <v>0</v>
      </c>
      <c r="G130" s="14">
        <f t="shared" si="3"/>
        <v>0</v>
      </c>
    </row>
    <row r="131" s="1" customFormat="1" ht="18" customHeight="1" spans="1:7">
      <c r="A131" s="12">
        <v>129</v>
      </c>
      <c r="B131" s="12" t="s">
        <v>11</v>
      </c>
      <c r="C131" s="12" t="str">
        <f>"202205290509"</f>
        <v>202205290509</v>
      </c>
      <c r="D131" s="13">
        <v>0</v>
      </c>
      <c r="E131" s="14">
        <v>0</v>
      </c>
      <c r="F131" s="14">
        <f t="shared" si="2"/>
        <v>0</v>
      </c>
      <c r="G131" s="14">
        <f t="shared" si="3"/>
        <v>0</v>
      </c>
    </row>
    <row r="132" s="1" customFormat="1" ht="18" customHeight="1" spans="1:7">
      <c r="A132" s="12">
        <v>130</v>
      </c>
      <c r="B132" s="12" t="s">
        <v>11</v>
      </c>
      <c r="C132" s="12" t="str">
        <f>"202205290510"</f>
        <v>202205290510</v>
      </c>
      <c r="D132" s="13">
        <v>74</v>
      </c>
      <c r="E132" s="14">
        <v>67.5</v>
      </c>
      <c r="F132" s="14">
        <f t="shared" ref="F132:F195" si="4">D132+E132</f>
        <v>141.5</v>
      </c>
      <c r="G132" s="14">
        <f t="shared" ref="G132:G195" si="5">D132/1.2*0.4+E132/1.2*0.6</f>
        <v>58.4166666666667</v>
      </c>
    </row>
    <row r="133" s="1" customFormat="1" ht="18" customHeight="1" spans="1:7">
      <c r="A133" s="12">
        <v>131</v>
      </c>
      <c r="B133" s="12" t="s">
        <v>11</v>
      </c>
      <c r="C133" s="12" t="str">
        <f>"202205290511"</f>
        <v>202205290511</v>
      </c>
      <c r="D133" s="13">
        <v>89.8</v>
      </c>
      <c r="E133" s="14">
        <v>82.75</v>
      </c>
      <c r="F133" s="14">
        <f t="shared" si="4"/>
        <v>172.55</v>
      </c>
      <c r="G133" s="14">
        <f t="shared" si="5"/>
        <v>71.3083333333333</v>
      </c>
    </row>
    <row r="134" s="1" customFormat="1" ht="18" customHeight="1" spans="1:7">
      <c r="A134" s="12">
        <v>132</v>
      </c>
      <c r="B134" s="12" t="s">
        <v>11</v>
      </c>
      <c r="C134" s="12" t="str">
        <f>"202205290512"</f>
        <v>202205290512</v>
      </c>
      <c r="D134" s="13">
        <v>0</v>
      </c>
      <c r="E134" s="14">
        <v>0</v>
      </c>
      <c r="F134" s="14">
        <f t="shared" si="4"/>
        <v>0</v>
      </c>
      <c r="G134" s="14">
        <f t="shared" si="5"/>
        <v>0</v>
      </c>
    </row>
    <row r="135" s="1" customFormat="1" ht="18" customHeight="1" spans="1:7">
      <c r="A135" s="12">
        <v>133</v>
      </c>
      <c r="B135" s="12" t="s">
        <v>11</v>
      </c>
      <c r="C135" s="12" t="str">
        <f>"202205290513"</f>
        <v>202205290513</v>
      </c>
      <c r="D135" s="13">
        <v>0</v>
      </c>
      <c r="E135" s="14">
        <v>0</v>
      </c>
      <c r="F135" s="14">
        <f t="shared" si="4"/>
        <v>0</v>
      </c>
      <c r="G135" s="14">
        <f t="shared" si="5"/>
        <v>0</v>
      </c>
    </row>
    <row r="136" s="1" customFormat="1" ht="18" customHeight="1" spans="1:7">
      <c r="A136" s="12">
        <v>134</v>
      </c>
      <c r="B136" s="12" t="s">
        <v>11</v>
      </c>
      <c r="C136" s="12" t="str">
        <f>"202205290514"</f>
        <v>202205290514</v>
      </c>
      <c r="D136" s="13">
        <v>0</v>
      </c>
      <c r="E136" s="14">
        <v>0</v>
      </c>
      <c r="F136" s="14">
        <f t="shared" si="4"/>
        <v>0</v>
      </c>
      <c r="G136" s="14">
        <f t="shared" si="5"/>
        <v>0</v>
      </c>
    </row>
    <row r="137" s="1" customFormat="1" ht="18" customHeight="1" spans="1:7">
      <c r="A137" s="12">
        <v>135</v>
      </c>
      <c r="B137" s="12" t="s">
        <v>11</v>
      </c>
      <c r="C137" s="12" t="str">
        <f>"202205290515"</f>
        <v>202205290515</v>
      </c>
      <c r="D137" s="13">
        <v>0</v>
      </c>
      <c r="E137" s="14">
        <v>0</v>
      </c>
      <c r="F137" s="14">
        <f t="shared" si="4"/>
        <v>0</v>
      </c>
      <c r="G137" s="14">
        <f t="shared" si="5"/>
        <v>0</v>
      </c>
    </row>
    <row r="138" s="1" customFormat="1" ht="18" customHeight="1" spans="1:7">
      <c r="A138" s="12">
        <v>136</v>
      </c>
      <c r="B138" s="12" t="s">
        <v>11</v>
      </c>
      <c r="C138" s="12" t="str">
        <f>"202205290516"</f>
        <v>202205290516</v>
      </c>
      <c r="D138" s="13">
        <v>76</v>
      </c>
      <c r="E138" s="14">
        <v>96</v>
      </c>
      <c r="F138" s="14">
        <f t="shared" si="4"/>
        <v>172</v>
      </c>
      <c r="G138" s="14">
        <f t="shared" si="5"/>
        <v>73.3333333333333</v>
      </c>
    </row>
    <row r="139" s="1" customFormat="1" ht="18" customHeight="1" spans="1:7">
      <c r="A139" s="12">
        <v>137</v>
      </c>
      <c r="B139" s="12" t="s">
        <v>11</v>
      </c>
      <c r="C139" s="12" t="str">
        <f>"202205290517"</f>
        <v>202205290517</v>
      </c>
      <c r="D139" s="13">
        <v>0</v>
      </c>
      <c r="E139" s="14">
        <v>0</v>
      </c>
      <c r="F139" s="14">
        <f t="shared" si="4"/>
        <v>0</v>
      </c>
      <c r="G139" s="14">
        <f t="shared" si="5"/>
        <v>0</v>
      </c>
    </row>
    <row r="140" s="1" customFormat="1" ht="18" customHeight="1" spans="1:7">
      <c r="A140" s="12">
        <v>138</v>
      </c>
      <c r="B140" s="12" t="s">
        <v>11</v>
      </c>
      <c r="C140" s="12" t="str">
        <f>"202205290518"</f>
        <v>202205290518</v>
      </c>
      <c r="D140" s="13">
        <v>0</v>
      </c>
      <c r="E140" s="14">
        <v>0</v>
      </c>
      <c r="F140" s="14">
        <f t="shared" si="4"/>
        <v>0</v>
      </c>
      <c r="G140" s="14">
        <f t="shared" si="5"/>
        <v>0</v>
      </c>
    </row>
    <row r="141" s="1" customFormat="1" ht="18" customHeight="1" spans="1:7">
      <c r="A141" s="12">
        <v>139</v>
      </c>
      <c r="B141" s="12" t="s">
        <v>11</v>
      </c>
      <c r="C141" s="12" t="str">
        <f>"202205290519"</f>
        <v>202205290519</v>
      </c>
      <c r="D141" s="13">
        <v>65.2</v>
      </c>
      <c r="E141" s="14">
        <v>52</v>
      </c>
      <c r="F141" s="14">
        <f t="shared" si="4"/>
        <v>117.2</v>
      </c>
      <c r="G141" s="14">
        <f t="shared" si="5"/>
        <v>47.7333333333333</v>
      </c>
    </row>
    <row r="142" s="1" customFormat="1" ht="18" customHeight="1" spans="1:7">
      <c r="A142" s="12">
        <v>140</v>
      </c>
      <c r="B142" s="12" t="s">
        <v>11</v>
      </c>
      <c r="C142" s="12" t="str">
        <f>"202205290520"</f>
        <v>202205290520</v>
      </c>
      <c r="D142" s="13">
        <v>75</v>
      </c>
      <c r="E142" s="14">
        <v>66.5</v>
      </c>
      <c r="F142" s="14">
        <f t="shared" si="4"/>
        <v>141.5</v>
      </c>
      <c r="G142" s="14">
        <f t="shared" si="5"/>
        <v>58.25</v>
      </c>
    </row>
    <row r="143" s="1" customFormat="1" ht="18" customHeight="1" spans="1:7">
      <c r="A143" s="12">
        <v>141</v>
      </c>
      <c r="B143" s="12" t="s">
        <v>11</v>
      </c>
      <c r="C143" s="12" t="str">
        <f>"202205290521"</f>
        <v>202205290521</v>
      </c>
      <c r="D143" s="13">
        <v>73.2</v>
      </c>
      <c r="E143" s="14">
        <v>69.5</v>
      </c>
      <c r="F143" s="14">
        <f t="shared" si="4"/>
        <v>142.7</v>
      </c>
      <c r="G143" s="14">
        <f t="shared" si="5"/>
        <v>59.15</v>
      </c>
    </row>
    <row r="144" s="1" customFormat="1" ht="18" customHeight="1" spans="1:7">
      <c r="A144" s="12">
        <v>142</v>
      </c>
      <c r="B144" s="12" t="s">
        <v>11</v>
      </c>
      <c r="C144" s="12" t="str">
        <f>"202205290522"</f>
        <v>202205290522</v>
      </c>
      <c r="D144" s="13">
        <v>74.4</v>
      </c>
      <c r="E144" s="14">
        <v>82.5</v>
      </c>
      <c r="F144" s="14">
        <f t="shared" si="4"/>
        <v>156.9</v>
      </c>
      <c r="G144" s="14">
        <f t="shared" si="5"/>
        <v>66.05</v>
      </c>
    </row>
    <row r="145" s="1" customFormat="1" ht="18" customHeight="1" spans="1:7">
      <c r="A145" s="12">
        <v>143</v>
      </c>
      <c r="B145" s="12" t="s">
        <v>11</v>
      </c>
      <c r="C145" s="12" t="str">
        <f>"202205290523"</f>
        <v>202205290523</v>
      </c>
      <c r="D145" s="13">
        <v>0</v>
      </c>
      <c r="E145" s="14">
        <v>0</v>
      </c>
      <c r="F145" s="14">
        <f t="shared" si="4"/>
        <v>0</v>
      </c>
      <c r="G145" s="14">
        <f t="shared" si="5"/>
        <v>0</v>
      </c>
    </row>
    <row r="146" s="1" customFormat="1" ht="18" customHeight="1" spans="1:7">
      <c r="A146" s="12">
        <v>144</v>
      </c>
      <c r="B146" s="12" t="s">
        <v>11</v>
      </c>
      <c r="C146" s="12" t="str">
        <f>"202205290524"</f>
        <v>202205290524</v>
      </c>
      <c r="D146" s="13">
        <v>0</v>
      </c>
      <c r="E146" s="14">
        <v>0</v>
      </c>
      <c r="F146" s="14">
        <f t="shared" si="4"/>
        <v>0</v>
      </c>
      <c r="G146" s="14">
        <f t="shared" si="5"/>
        <v>0</v>
      </c>
    </row>
    <row r="147" s="1" customFormat="1" ht="18" customHeight="1" spans="1:7">
      <c r="A147" s="12">
        <v>145</v>
      </c>
      <c r="B147" s="12" t="s">
        <v>11</v>
      </c>
      <c r="C147" s="12" t="str">
        <f>"202205290525"</f>
        <v>202205290525</v>
      </c>
      <c r="D147" s="13">
        <v>0</v>
      </c>
      <c r="E147" s="14">
        <v>0</v>
      </c>
      <c r="F147" s="14">
        <f t="shared" si="4"/>
        <v>0</v>
      </c>
      <c r="G147" s="14">
        <f t="shared" si="5"/>
        <v>0</v>
      </c>
    </row>
    <row r="148" s="1" customFormat="1" ht="18" customHeight="1" spans="1:7">
      <c r="A148" s="12">
        <v>146</v>
      </c>
      <c r="B148" s="12" t="s">
        <v>11</v>
      </c>
      <c r="C148" s="12" t="str">
        <f>"202205290526"</f>
        <v>202205290526</v>
      </c>
      <c r="D148" s="13">
        <v>0</v>
      </c>
      <c r="E148" s="14">
        <v>0</v>
      </c>
      <c r="F148" s="14">
        <f t="shared" si="4"/>
        <v>0</v>
      </c>
      <c r="G148" s="14">
        <f t="shared" si="5"/>
        <v>0</v>
      </c>
    </row>
    <row r="149" s="1" customFormat="1" ht="18" customHeight="1" spans="1:7">
      <c r="A149" s="12">
        <v>147</v>
      </c>
      <c r="B149" s="12" t="s">
        <v>11</v>
      </c>
      <c r="C149" s="12" t="str">
        <f>"202205290527"</f>
        <v>202205290527</v>
      </c>
      <c r="D149" s="13">
        <v>71.8</v>
      </c>
      <c r="E149" s="14">
        <v>57</v>
      </c>
      <c r="F149" s="14">
        <f t="shared" si="4"/>
        <v>128.8</v>
      </c>
      <c r="G149" s="14">
        <f t="shared" si="5"/>
        <v>52.4333333333333</v>
      </c>
    </row>
    <row r="150" s="1" customFormat="1" ht="18" customHeight="1" spans="1:7">
      <c r="A150" s="12">
        <v>148</v>
      </c>
      <c r="B150" s="12" t="s">
        <v>11</v>
      </c>
      <c r="C150" s="12" t="str">
        <f>"202205290528"</f>
        <v>202205290528</v>
      </c>
      <c r="D150" s="13">
        <v>81.2</v>
      </c>
      <c r="E150" s="14">
        <v>90.5</v>
      </c>
      <c r="F150" s="14">
        <f t="shared" si="4"/>
        <v>171.7</v>
      </c>
      <c r="G150" s="14">
        <f t="shared" si="5"/>
        <v>72.3166666666667</v>
      </c>
    </row>
    <row r="151" s="1" customFormat="1" ht="18" customHeight="1" spans="1:7">
      <c r="A151" s="12">
        <v>149</v>
      </c>
      <c r="B151" s="12" t="s">
        <v>11</v>
      </c>
      <c r="C151" s="12" t="str">
        <f>"202205290529"</f>
        <v>202205290529</v>
      </c>
      <c r="D151" s="13">
        <v>0</v>
      </c>
      <c r="E151" s="14">
        <v>0</v>
      </c>
      <c r="F151" s="14">
        <f t="shared" si="4"/>
        <v>0</v>
      </c>
      <c r="G151" s="14">
        <f t="shared" si="5"/>
        <v>0</v>
      </c>
    </row>
    <row r="152" s="1" customFormat="1" ht="18" customHeight="1" spans="1:7">
      <c r="A152" s="12">
        <v>150</v>
      </c>
      <c r="B152" s="12" t="s">
        <v>11</v>
      </c>
      <c r="C152" s="12" t="str">
        <f>"202205290530"</f>
        <v>202205290530</v>
      </c>
      <c r="D152" s="13">
        <v>0</v>
      </c>
      <c r="E152" s="14">
        <v>0</v>
      </c>
      <c r="F152" s="14">
        <f t="shared" si="4"/>
        <v>0</v>
      </c>
      <c r="G152" s="14">
        <f t="shared" si="5"/>
        <v>0</v>
      </c>
    </row>
    <row r="153" s="1" customFormat="1" ht="18" customHeight="1" spans="1:7">
      <c r="A153" s="12">
        <v>151</v>
      </c>
      <c r="B153" s="12" t="s">
        <v>11</v>
      </c>
      <c r="C153" s="12" t="str">
        <f>"202205290601"</f>
        <v>202205290601</v>
      </c>
      <c r="D153" s="13">
        <v>0</v>
      </c>
      <c r="E153" s="14">
        <v>0</v>
      </c>
      <c r="F153" s="14">
        <f t="shared" si="4"/>
        <v>0</v>
      </c>
      <c r="G153" s="14">
        <f t="shared" si="5"/>
        <v>0</v>
      </c>
    </row>
    <row r="154" s="1" customFormat="1" ht="18" customHeight="1" spans="1:7">
      <c r="A154" s="12">
        <v>152</v>
      </c>
      <c r="B154" s="12" t="s">
        <v>11</v>
      </c>
      <c r="C154" s="12" t="str">
        <f>"202205290602"</f>
        <v>202205290602</v>
      </c>
      <c r="D154" s="13">
        <v>0</v>
      </c>
      <c r="E154" s="14">
        <v>0</v>
      </c>
      <c r="F154" s="14">
        <f t="shared" si="4"/>
        <v>0</v>
      </c>
      <c r="G154" s="14">
        <f t="shared" si="5"/>
        <v>0</v>
      </c>
    </row>
    <row r="155" s="1" customFormat="1" ht="18" customHeight="1" spans="1:7">
      <c r="A155" s="12">
        <v>153</v>
      </c>
      <c r="B155" s="12" t="s">
        <v>11</v>
      </c>
      <c r="C155" s="12" t="str">
        <f>"202205290603"</f>
        <v>202205290603</v>
      </c>
      <c r="D155" s="13">
        <v>0</v>
      </c>
      <c r="E155" s="14">
        <v>0</v>
      </c>
      <c r="F155" s="14">
        <f t="shared" si="4"/>
        <v>0</v>
      </c>
      <c r="G155" s="14">
        <f t="shared" si="5"/>
        <v>0</v>
      </c>
    </row>
    <row r="156" s="1" customFormat="1" ht="18" customHeight="1" spans="1:7">
      <c r="A156" s="12">
        <v>154</v>
      </c>
      <c r="B156" s="12" t="s">
        <v>12</v>
      </c>
      <c r="C156" s="12" t="str">
        <f>"202205290604"</f>
        <v>202205290604</v>
      </c>
      <c r="D156" s="13">
        <v>72.4</v>
      </c>
      <c r="E156" s="14">
        <v>68</v>
      </c>
      <c r="F156" s="14">
        <f t="shared" si="4"/>
        <v>140.4</v>
      </c>
      <c r="G156" s="14">
        <f t="shared" si="5"/>
        <v>58.1333333333333</v>
      </c>
    </row>
    <row r="157" s="1" customFormat="1" ht="18" customHeight="1" spans="1:7">
      <c r="A157" s="12">
        <v>155</v>
      </c>
      <c r="B157" s="12" t="s">
        <v>12</v>
      </c>
      <c r="C157" s="12" t="str">
        <f>"202205290605"</f>
        <v>202205290605</v>
      </c>
      <c r="D157" s="13">
        <v>0</v>
      </c>
      <c r="E157" s="14">
        <v>0</v>
      </c>
      <c r="F157" s="14">
        <f t="shared" si="4"/>
        <v>0</v>
      </c>
      <c r="G157" s="14">
        <f t="shared" si="5"/>
        <v>0</v>
      </c>
    </row>
    <row r="158" s="1" customFormat="1" ht="18" customHeight="1" spans="1:7">
      <c r="A158" s="12">
        <v>156</v>
      </c>
      <c r="B158" s="12" t="s">
        <v>12</v>
      </c>
      <c r="C158" s="12" t="str">
        <f>"202205290606"</f>
        <v>202205290606</v>
      </c>
      <c r="D158" s="13">
        <v>0</v>
      </c>
      <c r="E158" s="14">
        <v>0</v>
      </c>
      <c r="F158" s="14">
        <f t="shared" si="4"/>
        <v>0</v>
      </c>
      <c r="G158" s="14">
        <f t="shared" si="5"/>
        <v>0</v>
      </c>
    </row>
    <row r="159" s="1" customFormat="1" ht="18" customHeight="1" spans="1:7">
      <c r="A159" s="12">
        <v>157</v>
      </c>
      <c r="B159" s="12" t="s">
        <v>12</v>
      </c>
      <c r="C159" s="12" t="str">
        <f>"202205290607"</f>
        <v>202205290607</v>
      </c>
      <c r="D159" s="13">
        <v>69.8</v>
      </c>
      <c r="E159" s="14">
        <v>59</v>
      </c>
      <c r="F159" s="14">
        <f t="shared" si="4"/>
        <v>128.8</v>
      </c>
      <c r="G159" s="14">
        <f t="shared" si="5"/>
        <v>52.7666666666667</v>
      </c>
    </row>
    <row r="160" s="1" customFormat="1" ht="18" customHeight="1" spans="1:7">
      <c r="A160" s="12">
        <v>158</v>
      </c>
      <c r="B160" s="12" t="s">
        <v>12</v>
      </c>
      <c r="C160" s="12" t="str">
        <f>"202205290608"</f>
        <v>202205290608</v>
      </c>
      <c r="D160" s="13">
        <v>74.2</v>
      </c>
      <c r="E160" s="14">
        <v>94</v>
      </c>
      <c r="F160" s="14">
        <f t="shared" si="4"/>
        <v>168.2</v>
      </c>
      <c r="G160" s="14">
        <f t="shared" si="5"/>
        <v>71.7333333333333</v>
      </c>
    </row>
    <row r="161" s="1" customFormat="1" ht="18" customHeight="1" spans="1:7">
      <c r="A161" s="12">
        <v>159</v>
      </c>
      <c r="B161" s="12" t="s">
        <v>12</v>
      </c>
      <c r="C161" s="12" t="str">
        <f>"202205290609"</f>
        <v>202205290609</v>
      </c>
      <c r="D161" s="13">
        <v>62.6</v>
      </c>
      <c r="E161" s="14">
        <v>80</v>
      </c>
      <c r="F161" s="14">
        <f t="shared" si="4"/>
        <v>142.6</v>
      </c>
      <c r="G161" s="14">
        <f t="shared" si="5"/>
        <v>60.8666666666667</v>
      </c>
    </row>
    <row r="162" s="1" customFormat="1" ht="18" customHeight="1" spans="1:7">
      <c r="A162" s="12">
        <v>160</v>
      </c>
      <c r="B162" s="12" t="s">
        <v>12</v>
      </c>
      <c r="C162" s="12" t="str">
        <f>"202205290610"</f>
        <v>202205290610</v>
      </c>
      <c r="D162" s="13">
        <v>79.6</v>
      </c>
      <c r="E162" s="14">
        <v>77</v>
      </c>
      <c r="F162" s="14">
        <f t="shared" si="4"/>
        <v>156.6</v>
      </c>
      <c r="G162" s="14">
        <f t="shared" si="5"/>
        <v>65.0333333333333</v>
      </c>
    </row>
    <row r="163" s="1" customFormat="1" ht="18" customHeight="1" spans="1:7">
      <c r="A163" s="12">
        <v>161</v>
      </c>
      <c r="B163" s="12" t="s">
        <v>12</v>
      </c>
      <c r="C163" s="12" t="str">
        <f>"202205290611"</f>
        <v>202205290611</v>
      </c>
      <c r="D163" s="13">
        <v>72</v>
      </c>
      <c r="E163" s="14">
        <v>90</v>
      </c>
      <c r="F163" s="14">
        <f t="shared" si="4"/>
        <v>162</v>
      </c>
      <c r="G163" s="14">
        <f t="shared" si="5"/>
        <v>69</v>
      </c>
    </row>
    <row r="164" s="1" customFormat="1" ht="18" customHeight="1" spans="1:7">
      <c r="A164" s="12">
        <v>162</v>
      </c>
      <c r="B164" s="12" t="s">
        <v>12</v>
      </c>
      <c r="C164" s="12" t="str">
        <f>"202205290612"</f>
        <v>202205290612</v>
      </c>
      <c r="D164" s="13">
        <v>62.8</v>
      </c>
      <c r="E164" s="14">
        <v>39</v>
      </c>
      <c r="F164" s="14">
        <f t="shared" si="4"/>
        <v>101.8</v>
      </c>
      <c r="G164" s="14">
        <f t="shared" si="5"/>
        <v>40.4333333333333</v>
      </c>
    </row>
    <row r="165" s="1" customFormat="1" ht="18" customHeight="1" spans="1:7">
      <c r="A165" s="12">
        <v>163</v>
      </c>
      <c r="B165" s="12" t="s">
        <v>12</v>
      </c>
      <c r="C165" s="12" t="str">
        <f>"202205290613"</f>
        <v>202205290613</v>
      </c>
      <c r="D165" s="13">
        <v>62.2</v>
      </c>
      <c r="E165" s="14">
        <v>38</v>
      </c>
      <c r="F165" s="14">
        <f t="shared" si="4"/>
        <v>100.2</v>
      </c>
      <c r="G165" s="14">
        <f t="shared" si="5"/>
        <v>39.7333333333333</v>
      </c>
    </row>
    <row r="166" s="1" customFormat="1" ht="18" customHeight="1" spans="1:7">
      <c r="A166" s="12">
        <v>164</v>
      </c>
      <c r="B166" s="12" t="s">
        <v>12</v>
      </c>
      <c r="C166" s="12" t="str">
        <f>"202205290614"</f>
        <v>202205290614</v>
      </c>
      <c r="D166" s="13">
        <v>62.4</v>
      </c>
      <c r="E166" s="14">
        <v>95</v>
      </c>
      <c r="F166" s="14">
        <f t="shared" si="4"/>
        <v>157.4</v>
      </c>
      <c r="G166" s="14">
        <f t="shared" si="5"/>
        <v>68.3</v>
      </c>
    </row>
    <row r="167" s="1" customFormat="1" ht="18" customHeight="1" spans="1:7">
      <c r="A167" s="12">
        <v>165</v>
      </c>
      <c r="B167" s="12" t="s">
        <v>12</v>
      </c>
      <c r="C167" s="12" t="str">
        <f>"202205290615"</f>
        <v>202205290615</v>
      </c>
      <c r="D167" s="13">
        <v>72.8</v>
      </c>
      <c r="E167" s="14">
        <v>85</v>
      </c>
      <c r="F167" s="14">
        <f t="shared" si="4"/>
        <v>157.8</v>
      </c>
      <c r="G167" s="14">
        <f t="shared" si="5"/>
        <v>66.7666666666667</v>
      </c>
    </row>
    <row r="168" s="1" customFormat="1" ht="18" customHeight="1" spans="1:7">
      <c r="A168" s="12">
        <v>166</v>
      </c>
      <c r="B168" s="12" t="s">
        <v>12</v>
      </c>
      <c r="C168" s="12" t="str">
        <f>"202205290616"</f>
        <v>202205290616</v>
      </c>
      <c r="D168" s="13">
        <v>74</v>
      </c>
      <c r="E168" s="14">
        <v>79</v>
      </c>
      <c r="F168" s="14">
        <f t="shared" si="4"/>
        <v>153</v>
      </c>
      <c r="G168" s="14">
        <f t="shared" si="5"/>
        <v>64.1666666666667</v>
      </c>
    </row>
    <row r="169" s="1" customFormat="1" ht="18" customHeight="1" spans="1:7">
      <c r="A169" s="12">
        <v>167</v>
      </c>
      <c r="B169" s="12" t="s">
        <v>12</v>
      </c>
      <c r="C169" s="12" t="str">
        <f>"202205290617"</f>
        <v>202205290617</v>
      </c>
      <c r="D169" s="13">
        <v>73.4</v>
      </c>
      <c r="E169" s="14">
        <v>71</v>
      </c>
      <c r="F169" s="14">
        <f t="shared" si="4"/>
        <v>144.4</v>
      </c>
      <c r="G169" s="14">
        <f t="shared" si="5"/>
        <v>59.9666666666667</v>
      </c>
    </row>
    <row r="170" s="1" customFormat="1" ht="18" customHeight="1" spans="1:7">
      <c r="A170" s="12">
        <v>168</v>
      </c>
      <c r="B170" s="12" t="s">
        <v>12</v>
      </c>
      <c r="C170" s="12" t="str">
        <f>"202205290618"</f>
        <v>202205290618</v>
      </c>
      <c r="D170" s="13">
        <v>67.2</v>
      </c>
      <c r="E170" s="14">
        <v>82</v>
      </c>
      <c r="F170" s="14">
        <f t="shared" si="4"/>
        <v>149.2</v>
      </c>
      <c r="G170" s="14">
        <f t="shared" si="5"/>
        <v>63.4</v>
      </c>
    </row>
    <row r="171" s="1" customFormat="1" ht="18" customHeight="1" spans="1:7">
      <c r="A171" s="12">
        <v>169</v>
      </c>
      <c r="B171" s="12" t="s">
        <v>12</v>
      </c>
      <c r="C171" s="12" t="str">
        <f>"202205290619"</f>
        <v>202205290619</v>
      </c>
      <c r="D171" s="13">
        <v>0</v>
      </c>
      <c r="E171" s="14">
        <v>0</v>
      </c>
      <c r="F171" s="14">
        <f t="shared" si="4"/>
        <v>0</v>
      </c>
      <c r="G171" s="14">
        <f t="shared" si="5"/>
        <v>0</v>
      </c>
    </row>
    <row r="172" s="1" customFormat="1" ht="18" customHeight="1" spans="1:7">
      <c r="A172" s="12">
        <v>170</v>
      </c>
      <c r="B172" s="12" t="s">
        <v>12</v>
      </c>
      <c r="C172" s="12" t="str">
        <f>"202205290620"</f>
        <v>202205290620</v>
      </c>
      <c r="D172" s="13">
        <v>76.4</v>
      </c>
      <c r="E172" s="14">
        <v>84</v>
      </c>
      <c r="F172" s="14">
        <f t="shared" si="4"/>
        <v>160.4</v>
      </c>
      <c r="G172" s="14">
        <f t="shared" si="5"/>
        <v>67.4666666666667</v>
      </c>
    </row>
    <row r="173" s="1" customFormat="1" ht="18" customHeight="1" spans="1:7">
      <c r="A173" s="12">
        <v>171</v>
      </c>
      <c r="B173" s="12" t="s">
        <v>12</v>
      </c>
      <c r="C173" s="12" t="str">
        <f>"202205290621"</f>
        <v>202205290621</v>
      </c>
      <c r="D173" s="13">
        <v>55.4</v>
      </c>
      <c r="E173" s="14">
        <v>52</v>
      </c>
      <c r="F173" s="14">
        <f t="shared" si="4"/>
        <v>107.4</v>
      </c>
      <c r="G173" s="14">
        <f t="shared" si="5"/>
        <v>44.4666666666667</v>
      </c>
    </row>
    <row r="174" s="1" customFormat="1" ht="18" customHeight="1" spans="1:7">
      <c r="A174" s="12">
        <v>172</v>
      </c>
      <c r="B174" s="12" t="s">
        <v>12</v>
      </c>
      <c r="C174" s="12" t="str">
        <f>"202205290622"</f>
        <v>202205290622</v>
      </c>
      <c r="D174" s="13">
        <v>81.6</v>
      </c>
      <c r="E174" s="14">
        <v>70</v>
      </c>
      <c r="F174" s="14">
        <f t="shared" si="4"/>
        <v>151.6</v>
      </c>
      <c r="G174" s="14">
        <f t="shared" si="5"/>
        <v>62.2</v>
      </c>
    </row>
    <row r="175" s="1" customFormat="1" ht="18" customHeight="1" spans="1:7">
      <c r="A175" s="12">
        <v>173</v>
      </c>
      <c r="B175" s="12" t="s">
        <v>12</v>
      </c>
      <c r="C175" s="12" t="str">
        <f>"202205290623"</f>
        <v>202205290623</v>
      </c>
      <c r="D175" s="13">
        <v>0</v>
      </c>
      <c r="E175" s="14">
        <v>0</v>
      </c>
      <c r="F175" s="14">
        <f t="shared" si="4"/>
        <v>0</v>
      </c>
      <c r="G175" s="14">
        <f t="shared" si="5"/>
        <v>0</v>
      </c>
    </row>
    <row r="176" s="1" customFormat="1" ht="18" customHeight="1" spans="1:7">
      <c r="A176" s="12">
        <v>174</v>
      </c>
      <c r="B176" s="12" t="s">
        <v>12</v>
      </c>
      <c r="C176" s="12" t="str">
        <f>"202205290624"</f>
        <v>202205290624</v>
      </c>
      <c r="D176" s="13">
        <v>0</v>
      </c>
      <c r="E176" s="14">
        <v>0</v>
      </c>
      <c r="F176" s="14">
        <f t="shared" si="4"/>
        <v>0</v>
      </c>
      <c r="G176" s="14">
        <f t="shared" si="5"/>
        <v>0</v>
      </c>
    </row>
    <row r="177" s="1" customFormat="1" ht="18" customHeight="1" spans="1:7">
      <c r="A177" s="12">
        <v>175</v>
      </c>
      <c r="B177" s="12" t="s">
        <v>12</v>
      </c>
      <c r="C177" s="12" t="str">
        <f>"202205290625"</f>
        <v>202205290625</v>
      </c>
      <c r="D177" s="13">
        <v>0</v>
      </c>
      <c r="E177" s="14">
        <v>0</v>
      </c>
      <c r="F177" s="14">
        <f t="shared" si="4"/>
        <v>0</v>
      </c>
      <c r="G177" s="14">
        <f t="shared" si="5"/>
        <v>0</v>
      </c>
    </row>
    <row r="178" s="1" customFormat="1" ht="18" customHeight="1" spans="1:7">
      <c r="A178" s="12">
        <v>176</v>
      </c>
      <c r="B178" s="12" t="s">
        <v>12</v>
      </c>
      <c r="C178" s="12" t="str">
        <f>"202205290626"</f>
        <v>202205290626</v>
      </c>
      <c r="D178" s="13">
        <v>0</v>
      </c>
      <c r="E178" s="14">
        <v>0</v>
      </c>
      <c r="F178" s="14">
        <f t="shared" si="4"/>
        <v>0</v>
      </c>
      <c r="G178" s="14">
        <f t="shared" si="5"/>
        <v>0</v>
      </c>
    </row>
    <row r="179" s="1" customFormat="1" ht="18" customHeight="1" spans="1:7">
      <c r="A179" s="12">
        <v>177</v>
      </c>
      <c r="B179" s="12" t="s">
        <v>12</v>
      </c>
      <c r="C179" s="12" t="str">
        <f>"202205290627"</f>
        <v>202205290627</v>
      </c>
      <c r="D179" s="13">
        <v>59.6</v>
      </c>
      <c r="E179" s="14">
        <v>61</v>
      </c>
      <c r="F179" s="14">
        <f t="shared" si="4"/>
        <v>120.6</v>
      </c>
      <c r="G179" s="14">
        <f t="shared" si="5"/>
        <v>50.3666666666667</v>
      </c>
    </row>
    <row r="180" s="1" customFormat="1" ht="18" customHeight="1" spans="1:7">
      <c r="A180" s="12">
        <v>178</v>
      </c>
      <c r="B180" s="12" t="s">
        <v>12</v>
      </c>
      <c r="C180" s="12" t="str">
        <f>"202205290628"</f>
        <v>202205290628</v>
      </c>
      <c r="D180" s="13">
        <v>66.8</v>
      </c>
      <c r="E180" s="14">
        <v>40</v>
      </c>
      <c r="F180" s="14">
        <f t="shared" si="4"/>
        <v>106.8</v>
      </c>
      <c r="G180" s="14">
        <f t="shared" si="5"/>
        <v>42.2666666666667</v>
      </c>
    </row>
    <row r="181" s="1" customFormat="1" ht="18" customHeight="1" spans="1:7">
      <c r="A181" s="12">
        <v>179</v>
      </c>
      <c r="B181" s="12" t="s">
        <v>12</v>
      </c>
      <c r="C181" s="12" t="str">
        <f>"202205290629"</f>
        <v>202205290629</v>
      </c>
      <c r="D181" s="13">
        <v>72.2</v>
      </c>
      <c r="E181" s="14">
        <v>58</v>
      </c>
      <c r="F181" s="14">
        <f t="shared" si="4"/>
        <v>130.2</v>
      </c>
      <c r="G181" s="14">
        <f t="shared" si="5"/>
        <v>53.0666666666667</v>
      </c>
    </row>
    <row r="182" s="1" customFormat="1" ht="18" customHeight="1" spans="1:7">
      <c r="A182" s="12">
        <v>180</v>
      </c>
      <c r="B182" s="12" t="s">
        <v>12</v>
      </c>
      <c r="C182" s="12" t="str">
        <f>"202205290630"</f>
        <v>202205290630</v>
      </c>
      <c r="D182" s="13">
        <v>68.2</v>
      </c>
      <c r="E182" s="14">
        <v>76</v>
      </c>
      <c r="F182" s="14">
        <f t="shared" si="4"/>
        <v>144.2</v>
      </c>
      <c r="G182" s="14">
        <f t="shared" si="5"/>
        <v>60.7333333333333</v>
      </c>
    </row>
    <row r="183" s="1" customFormat="1" ht="18" customHeight="1" spans="1:7">
      <c r="A183" s="12">
        <v>181</v>
      </c>
      <c r="B183" s="12" t="s">
        <v>12</v>
      </c>
      <c r="C183" s="12" t="str">
        <f>"202205290701"</f>
        <v>202205290701</v>
      </c>
      <c r="D183" s="13">
        <v>66.4</v>
      </c>
      <c r="E183" s="14">
        <v>77</v>
      </c>
      <c r="F183" s="14">
        <f t="shared" si="4"/>
        <v>143.4</v>
      </c>
      <c r="G183" s="14">
        <f t="shared" si="5"/>
        <v>60.6333333333333</v>
      </c>
    </row>
    <row r="184" s="1" customFormat="1" ht="18" customHeight="1" spans="1:7">
      <c r="A184" s="12">
        <v>182</v>
      </c>
      <c r="B184" s="12" t="s">
        <v>12</v>
      </c>
      <c r="C184" s="12" t="str">
        <f>"202205290702"</f>
        <v>202205290702</v>
      </c>
      <c r="D184" s="13">
        <v>37.6</v>
      </c>
      <c r="E184" s="14">
        <v>33</v>
      </c>
      <c r="F184" s="14">
        <f t="shared" si="4"/>
        <v>70.6</v>
      </c>
      <c r="G184" s="14">
        <f t="shared" si="5"/>
        <v>29.0333333333333</v>
      </c>
    </row>
    <row r="185" s="1" customFormat="1" ht="18" customHeight="1" spans="1:7">
      <c r="A185" s="12">
        <v>183</v>
      </c>
      <c r="B185" s="12" t="s">
        <v>12</v>
      </c>
      <c r="C185" s="12" t="str">
        <f>"202205290703"</f>
        <v>202205290703</v>
      </c>
      <c r="D185" s="13">
        <v>72</v>
      </c>
      <c r="E185" s="14">
        <v>80</v>
      </c>
      <c r="F185" s="14">
        <f t="shared" si="4"/>
        <v>152</v>
      </c>
      <c r="G185" s="14">
        <f t="shared" si="5"/>
        <v>64</v>
      </c>
    </row>
    <row r="186" s="1" customFormat="1" ht="18" customHeight="1" spans="1:7">
      <c r="A186" s="12">
        <v>184</v>
      </c>
      <c r="B186" s="12" t="s">
        <v>12</v>
      </c>
      <c r="C186" s="12" t="str">
        <f>"202205290704"</f>
        <v>202205290704</v>
      </c>
      <c r="D186" s="13">
        <v>75.4</v>
      </c>
      <c r="E186" s="14">
        <v>70</v>
      </c>
      <c r="F186" s="14">
        <f t="shared" si="4"/>
        <v>145.4</v>
      </c>
      <c r="G186" s="14">
        <f t="shared" si="5"/>
        <v>60.1333333333333</v>
      </c>
    </row>
    <row r="187" s="1" customFormat="1" ht="18" customHeight="1" spans="1:7">
      <c r="A187" s="12">
        <v>185</v>
      </c>
      <c r="B187" s="12" t="s">
        <v>12</v>
      </c>
      <c r="C187" s="12" t="str">
        <f>"202205290705"</f>
        <v>202205290705</v>
      </c>
      <c r="D187" s="13">
        <v>66.8</v>
      </c>
      <c r="E187" s="14">
        <v>74</v>
      </c>
      <c r="F187" s="14">
        <f t="shared" si="4"/>
        <v>140.8</v>
      </c>
      <c r="G187" s="14">
        <f t="shared" si="5"/>
        <v>59.2666666666667</v>
      </c>
    </row>
    <row r="188" s="1" customFormat="1" ht="18" customHeight="1" spans="1:7">
      <c r="A188" s="12">
        <v>186</v>
      </c>
      <c r="B188" s="12" t="s">
        <v>12</v>
      </c>
      <c r="C188" s="12" t="str">
        <f>"202205290706"</f>
        <v>202205290706</v>
      </c>
      <c r="D188" s="13">
        <v>68.8</v>
      </c>
      <c r="E188" s="14">
        <v>69</v>
      </c>
      <c r="F188" s="14">
        <f t="shared" si="4"/>
        <v>137.8</v>
      </c>
      <c r="G188" s="14">
        <f t="shared" si="5"/>
        <v>57.4333333333333</v>
      </c>
    </row>
    <row r="189" s="1" customFormat="1" ht="18" customHeight="1" spans="1:7">
      <c r="A189" s="12">
        <v>187</v>
      </c>
      <c r="B189" s="12" t="s">
        <v>12</v>
      </c>
      <c r="C189" s="12" t="str">
        <f>"202205290707"</f>
        <v>202205290707</v>
      </c>
      <c r="D189" s="13">
        <v>0</v>
      </c>
      <c r="E189" s="14">
        <v>0</v>
      </c>
      <c r="F189" s="14">
        <f t="shared" si="4"/>
        <v>0</v>
      </c>
      <c r="G189" s="14">
        <f t="shared" si="5"/>
        <v>0</v>
      </c>
    </row>
    <row r="190" s="1" customFormat="1" ht="18" customHeight="1" spans="1:7">
      <c r="A190" s="12">
        <v>188</v>
      </c>
      <c r="B190" s="12" t="s">
        <v>12</v>
      </c>
      <c r="C190" s="12" t="str">
        <f>"202205290708"</f>
        <v>202205290708</v>
      </c>
      <c r="D190" s="13">
        <v>0</v>
      </c>
      <c r="E190" s="14">
        <v>0</v>
      </c>
      <c r="F190" s="14">
        <f t="shared" si="4"/>
        <v>0</v>
      </c>
      <c r="G190" s="14">
        <f t="shared" si="5"/>
        <v>0</v>
      </c>
    </row>
    <row r="191" s="1" customFormat="1" ht="18" customHeight="1" spans="1:7">
      <c r="A191" s="12">
        <v>189</v>
      </c>
      <c r="B191" s="12" t="s">
        <v>12</v>
      </c>
      <c r="C191" s="12" t="str">
        <f>"202205290709"</f>
        <v>202205290709</v>
      </c>
      <c r="D191" s="13">
        <v>0</v>
      </c>
      <c r="E191" s="14">
        <v>0</v>
      </c>
      <c r="F191" s="14">
        <f t="shared" si="4"/>
        <v>0</v>
      </c>
      <c r="G191" s="14">
        <f t="shared" si="5"/>
        <v>0</v>
      </c>
    </row>
    <row r="192" s="1" customFormat="1" ht="18" customHeight="1" spans="1:7">
      <c r="A192" s="12">
        <v>190</v>
      </c>
      <c r="B192" s="12" t="s">
        <v>12</v>
      </c>
      <c r="C192" s="12" t="str">
        <f>"202205290710"</f>
        <v>202205290710</v>
      </c>
      <c r="D192" s="13">
        <v>0</v>
      </c>
      <c r="E192" s="14">
        <v>0</v>
      </c>
      <c r="F192" s="14">
        <f t="shared" si="4"/>
        <v>0</v>
      </c>
      <c r="G192" s="14">
        <f t="shared" si="5"/>
        <v>0</v>
      </c>
    </row>
    <row r="193" s="1" customFormat="1" ht="18" customHeight="1" spans="1:7">
      <c r="A193" s="12">
        <v>191</v>
      </c>
      <c r="B193" s="12" t="s">
        <v>12</v>
      </c>
      <c r="C193" s="12" t="str">
        <f>"202205290711"</f>
        <v>202205290711</v>
      </c>
      <c r="D193" s="13">
        <v>0</v>
      </c>
      <c r="E193" s="14">
        <v>0</v>
      </c>
      <c r="F193" s="14">
        <f t="shared" si="4"/>
        <v>0</v>
      </c>
      <c r="G193" s="14">
        <f t="shared" si="5"/>
        <v>0</v>
      </c>
    </row>
    <row r="194" s="1" customFormat="1" ht="18" customHeight="1" spans="1:7">
      <c r="A194" s="12">
        <v>192</v>
      </c>
      <c r="B194" s="12" t="s">
        <v>12</v>
      </c>
      <c r="C194" s="12" t="str">
        <f>"202205290712"</f>
        <v>202205290712</v>
      </c>
      <c r="D194" s="13">
        <v>0</v>
      </c>
      <c r="E194" s="14">
        <v>0</v>
      </c>
      <c r="F194" s="14">
        <f t="shared" si="4"/>
        <v>0</v>
      </c>
      <c r="G194" s="14">
        <f t="shared" si="5"/>
        <v>0</v>
      </c>
    </row>
    <row r="195" s="1" customFormat="1" ht="18" customHeight="1" spans="1:7">
      <c r="A195" s="12">
        <v>193</v>
      </c>
      <c r="B195" s="12" t="s">
        <v>12</v>
      </c>
      <c r="C195" s="12" t="str">
        <f>"202205290713"</f>
        <v>202205290713</v>
      </c>
      <c r="D195" s="13">
        <v>0</v>
      </c>
      <c r="E195" s="14">
        <v>0</v>
      </c>
      <c r="F195" s="14">
        <f t="shared" si="4"/>
        <v>0</v>
      </c>
      <c r="G195" s="14">
        <f t="shared" si="5"/>
        <v>0</v>
      </c>
    </row>
    <row r="196" s="1" customFormat="1" ht="18" customHeight="1" spans="1:7">
      <c r="A196" s="12">
        <v>194</v>
      </c>
      <c r="B196" s="12" t="s">
        <v>12</v>
      </c>
      <c r="C196" s="12" t="str">
        <f>"202205290714"</f>
        <v>202205290714</v>
      </c>
      <c r="D196" s="13">
        <v>71.6</v>
      </c>
      <c r="E196" s="14">
        <v>79</v>
      </c>
      <c r="F196" s="14">
        <f t="shared" ref="F196:F259" si="6">D196+E196</f>
        <v>150.6</v>
      </c>
      <c r="G196" s="14">
        <f t="shared" ref="G196:G259" si="7">D196/1.2*0.4+E196/1.2*0.6</f>
        <v>63.3666666666667</v>
      </c>
    </row>
    <row r="197" s="1" customFormat="1" ht="18" customHeight="1" spans="1:7">
      <c r="A197" s="12">
        <v>195</v>
      </c>
      <c r="B197" s="12" t="s">
        <v>12</v>
      </c>
      <c r="C197" s="12" t="str">
        <f>"202205290715"</f>
        <v>202205290715</v>
      </c>
      <c r="D197" s="13">
        <v>0</v>
      </c>
      <c r="E197" s="14">
        <v>0</v>
      </c>
      <c r="F197" s="14">
        <f t="shared" si="6"/>
        <v>0</v>
      </c>
      <c r="G197" s="14">
        <f t="shared" si="7"/>
        <v>0</v>
      </c>
    </row>
    <row r="198" s="1" customFormat="1" ht="18" customHeight="1" spans="1:7">
      <c r="A198" s="12">
        <v>196</v>
      </c>
      <c r="B198" s="12" t="s">
        <v>12</v>
      </c>
      <c r="C198" s="12" t="str">
        <f>"202205290716"</f>
        <v>202205290716</v>
      </c>
      <c r="D198" s="13">
        <v>59.2</v>
      </c>
      <c r="E198" s="14">
        <v>54</v>
      </c>
      <c r="F198" s="14">
        <f t="shared" si="6"/>
        <v>113.2</v>
      </c>
      <c r="G198" s="14">
        <f t="shared" si="7"/>
        <v>46.7333333333333</v>
      </c>
    </row>
    <row r="199" s="1" customFormat="1" ht="18" customHeight="1" spans="1:7">
      <c r="A199" s="12">
        <v>197</v>
      </c>
      <c r="B199" s="12" t="s">
        <v>12</v>
      </c>
      <c r="C199" s="12" t="str">
        <f>"202205290717"</f>
        <v>202205290717</v>
      </c>
      <c r="D199" s="13">
        <v>82</v>
      </c>
      <c r="E199" s="14">
        <v>40</v>
      </c>
      <c r="F199" s="14">
        <f t="shared" si="6"/>
        <v>122</v>
      </c>
      <c r="G199" s="14">
        <f t="shared" si="7"/>
        <v>47.3333333333333</v>
      </c>
    </row>
    <row r="200" s="1" customFormat="1" ht="18" customHeight="1" spans="1:7">
      <c r="A200" s="12">
        <v>198</v>
      </c>
      <c r="B200" s="12" t="s">
        <v>12</v>
      </c>
      <c r="C200" s="12" t="str">
        <f>"202205290718"</f>
        <v>202205290718</v>
      </c>
      <c r="D200" s="13">
        <v>79.6</v>
      </c>
      <c r="E200" s="14">
        <v>80</v>
      </c>
      <c r="F200" s="14">
        <f t="shared" si="6"/>
        <v>159.6</v>
      </c>
      <c r="G200" s="14">
        <f t="shared" si="7"/>
        <v>66.5333333333333</v>
      </c>
    </row>
    <row r="201" s="1" customFormat="1" ht="18" customHeight="1" spans="1:7">
      <c r="A201" s="12">
        <v>199</v>
      </c>
      <c r="B201" s="12" t="s">
        <v>12</v>
      </c>
      <c r="C201" s="12" t="str">
        <f>"202205290719"</f>
        <v>202205290719</v>
      </c>
      <c r="D201" s="13">
        <v>0</v>
      </c>
      <c r="E201" s="14">
        <v>0</v>
      </c>
      <c r="F201" s="14">
        <f t="shared" si="6"/>
        <v>0</v>
      </c>
      <c r="G201" s="14">
        <f t="shared" si="7"/>
        <v>0</v>
      </c>
    </row>
    <row r="202" s="1" customFormat="1" ht="18" customHeight="1" spans="1:7">
      <c r="A202" s="12">
        <v>200</v>
      </c>
      <c r="B202" s="12" t="s">
        <v>12</v>
      </c>
      <c r="C202" s="12" t="str">
        <f>"202205290720"</f>
        <v>202205290720</v>
      </c>
      <c r="D202" s="13">
        <v>83</v>
      </c>
      <c r="E202" s="14">
        <v>88</v>
      </c>
      <c r="F202" s="14">
        <f t="shared" si="6"/>
        <v>171</v>
      </c>
      <c r="G202" s="14">
        <f t="shared" si="7"/>
        <v>71.6666666666667</v>
      </c>
    </row>
    <row r="203" s="1" customFormat="1" ht="18" customHeight="1" spans="1:7">
      <c r="A203" s="12">
        <v>201</v>
      </c>
      <c r="B203" s="12" t="s">
        <v>12</v>
      </c>
      <c r="C203" s="12" t="str">
        <f>"202205290721"</f>
        <v>202205290721</v>
      </c>
      <c r="D203" s="13">
        <v>0</v>
      </c>
      <c r="E203" s="14">
        <v>0</v>
      </c>
      <c r="F203" s="14">
        <f t="shared" si="6"/>
        <v>0</v>
      </c>
      <c r="G203" s="14">
        <f t="shared" si="7"/>
        <v>0</v>
      </c>
    </row>
    <row r="204" s="1" customFormat="1" ht="18" customHeight="1" spans="1:7">
      <c r="A204" s="12">
        <v>202</v>
      </c>
      <c r="B204" s="12" t="s">
        <v>12</v>
      </c>
      <c r="C204" s="12" t="str">
        <f>"202205290722"</f>
        <v>202205290722</v>
      </c>
      <c r="D204" s="13">
        <v>0</v>
      </c>
      <c r="E204" s="14">
        <v>0</v>
      </c>
      <c r="F204" s="14">
        <f t="shared" si="6"/>
        <v>0</v>
      </c>
      <c r="G204" s="14">
        <f t="shared" si="7"/>
        <v>0</v>
      </c>
    </row>
    <row r="205" s="1" customFormat="1" ht="18" customHeight="1" spans="1:7">
      <c r="A205" s="12">
        <v>203</v>
      </c>
      <c r="B205" s="12" t="s">
        <v>12</v>
      </c>
      <c r="C205" s="12" t="str">
        <f>"202205290723"</f>
        <v>202205290723</v>
      </c>
      <c r="D205" s="13">
        <v>61.6</v>
      </c>
      <c r="E205" s="14">
        <v>82</v>
      </c>
      <c r="F205" s="14">
        <f t="shared" si="6"/>
        <v>143.6</v>
      </c>
      <c r="G205" s="14">
        <f t="shared" si="7"/>
        <v>61.5333333333333</v>
      </c>
    </row>
    <row r="206" s="1" customFormat="1" ht="18" customHeight="1" spans="1:7">
      <c r="A206" s="12">
        <v>204</v>
      </c>
      <c r="B206" s="12" t="s">
        <v>12</v>
      </c>
      <c r="C206" s="12" t="str">
        <f>"202205290724"</f>
        <v>202205290724</v>
      </c>
      <c r="D206" s="13">
        <v>83.8</v>
      </c>
      <c r="E206" s="14">
        <v>87</v>
      </c>
      <c r="F206" s="14">
        <f t="shared" si="6"/>
        <v>170.8</v>
      </c>
      <c r="G206" s="14">
        <f t="shared" si="7"/>
        <v>71.4333333333333</v>
      </c>
    </row>
    <row r="207" s="1" customFormat="1" ht="18" customHeight="1" spans="1:7">
      <c r="A207" s="12">
        <v>205</v>
      </c>
      <c r="B207" s="12" t="s">
        <v>12</v>
      </c>
      <c r="C207" s="12" t="str">
        <f>"202205290725"</f>
        <v>202205290725</v>
      </c>
      <c r="D207" s="13">
        <v>69.6</v>
      </c>
      <c r="E207" s="14">
        <v>70</v>
      </c>
      <c r="F207" s="14">
        <f t="shared" si="6"/>
        <v>139.6</v>
      </c>
      <c r="G207" s="14">
        <f t="shared" si="7"/>
        <v>58.2</v>
      </c>
    </row>
    <row r="208" s="1" customFormat="1" ht="18" customHeight="1" spans="1:7">
      <c r="A208" s="12">
        <v>206</v>
      </c>
      <c r="B208" s="12" t="s">
        <v>12</v>
      </c>
      <c r="C208" s="12" t="str">
        <f>"202205290726"</f>
        <v>202205290726</v>
      </c>
      <c r="D208" s="13">
        <v>0</v>
      </c>
      <c r="E208" s="14">
        <v>0</v>
      </c>
      <c r="F208" s="14">
        <f t="shared" si="6"/>
        <v>0</v>
      </c>
      <c r="G208" s="14">
        <f t="shared" si="7"/>
        <v>0</v>
      </c>
    </row>
    <row r="209" s="1" customFormat="1" ht="18" customHeight="1" spans="1:7">
      <c r="A209" s="12">
        <v>207</v>
      </c>
      <c r="B209" s="12" t="s">
        <v>12</v>
      </c>
      <c r="C209" s="12" t="str">
        <f>"202205290727"</f>
        <v>202205290727</v>
      </c>
      <c r="D209" s="13">
        <v>84.2</v>
      </c>
      <c r="E209" s="14">
        <v>74</v>
      </c>
      <c r="F209" s="14">
        <f t="shared" si="6"/>
        <v>158.2</v>
      </c>
      <c r="G209" s="14">
        <f t="shared" si="7"/>
        <v>65.0666666666667</v>
      </c>
    </row>
    <row r="210" s="1" customFormat="1" ht="18" customHeight="1" spans="1:7">
      <c r="A210" s="12">
        <v>208</v>
      </c>
      <c r="B210" s="12" t="s">
        <v>12</v>
      </c>
      <c r="C210" s="12" t="str">
        <f>"202205290728"</f>
        <v>202205290728</v>
      </c>
      <c r="D210" s="13">
        <v>0</v>
      </c>
      <c r="E210" s="14">
        <v>0</v>
      </c>
      <c r="F210" s="14">
        <f t="shared" si="6"/>
        <v>0</v>
      </c>
      <c r="G210" s="14">
        <f t="shared" si="7"/>
        <v>0</v>
      </c>
    </row>
    <row r="211" s="1" customFormat="1" ht="18" customHeight="1" spans="1:7">
      <c r="A211" s="12">
        <v>209</v>
      </c>
      <c r="B211" s="12" t="s">
        <v>12</v>
      </c>
      <c r="C211" s="12" t="str">
        <f>"202205290729"</f>
        <v>202205290729</v>
      </c>
      <c r="D211" s="13">
        <v>76.4</v>
      </c>
      <c r="E211" s="14">
        <v>64</v>
      </c>
      <c r="F211" s="14">
        <f t="shared" si="6"/>
        <v>140.4</v>
      </c>
      <c r="G211" s="14">
        <f t="shared" si="7"/>
        <v>57.4666666666667</v>
      </c>
    </row>
    <row r="212" s="1" customFormat="1" ht="18" customHeight="1" spans="1:7">
      <c r="A212" s="12">
        <v>210</v>
      </c>
      <c r="B212" s="12" t="s">
        <v>12</v>
      </c>
      <c r="C212" s="12" t="str">
        <f>"202205290730"</f>
        <v>202205290730</v>
      </c>
      <c r="D212" s="13">
        <v>84.6</v>
      </c>
      <c r="E212" s="14">
        <v>76</v>
      </c>
      <c r="F212" s="14">
        <f t="shared" si="6"/>
        <v>160.6</v>
      </c>
      <c r="G212" s="14">
        <f t="shared" si="7"/>
        <v>66.2</v>
      </c>
    </row>
    <row r="213" s="1" customFormat="1" ht="18" customHeight="1" spans="1:7">
      <c r="A213" s="12">
        <v>211</v>
      </c>
      <c r="B213" s="12" t="s">
        <v>12</v>
      </c>
      <c r="C213" s="12" t="str">
        <f>"202205290801"</f>
        <v>202205290801</v>
      </c>
      <c r="D213" s="13">
        <v>0</v>
      </c>
      <c r="E213" s="14">
        <v>0</v>
      </c>
      <c r="F213" s="14">
        <f t="shared" si="6"/>
        <v>0</v>
      </c>
      <c r="G213" s="14">
        <f t="shared" si="7"/>
        <v>0</v>
      </c>
    </row>
    <row r="214" s="1" customFormat="1" ht="18" customHeight="1" spans="1:7">
      <c r="A214" s="12">
        <v>212</v>
      </c>
      <c r="B214" s="12" t="s">
        <v>12</v>
      </c>
      <c r="C214" s="12" t="str">
        <f>"202205290802"</f>
        <v>202205290802</v>
      </c>
      <c r="D214" s="13">
        <v>72</v>
      </c>
      <c r="E214" s="14">
        <v>32</v>
      </c>
      <c r="F214" s="14">
        <f t="shared" si="6"/>
        <v>104</v>
      </c>
      <c r="G214" s="14">
        <f t="shared" si="7"/>
        <v>40</v>
      </c>
    </row>
    <row r="215" s="1" customFormat="1" ht="18" customHeight="1" spans="1:7">
      <c r="A215" s="12">
        <v>213</v>
      </c>
      <c r="B215" s="12" t="s">
        <v>12</v>
      </c>
      <c r="C215" s="12" t="str">
        <f>"202205290803"</f>
        <v>202205290803</v>
      </c>
      <c r="D215" s="13">
        <v>81</v>
      </c>
      <c r="E215" s="14">
        <v>56</v>
      </c>
      <c r="F215" s="14">
        <f t="shared" si="6"/>
        <v>137</v>
      </c>
      <c r="G215" s="14">
        <f t="shared" si="7"/>
        <v>55</v>
      </c>
    </row>
    <row r="216" s="1" customFormat="1" ht="18" customHeight="1" spans="1:7">
      <c r="A216" s="12">
        <v>214</v>
      </c>
      <c r="B216" s="12" t="s">
        <v>12</v>
      </c>
      <c r="C216" s="12" t="str">
        <f>"202205290804"</f>
        <v>202205290804</v>
      </c>
      <c r="D216" s="13">
        <v>0</v>
      </c>
      <c r="E216" s="14">
        <v>0</v>
      </c>
      <c r="F216" s="14">
        <f t="shared" si="6"/>
        <v>0</v>
      </c>
      <c r="G216" s="14">
        <f t="shared" si="7"/>
        <v>0</v>
      </c>
    </row>
    <row r="217" s="1" customFormat="1" ht="18" customHeight="1" spans="1:7">
      <c r="A217" s="12">
        <v>215</v>
      </c>
      <c r="B217" s="12" t="s">
        <v>12</v>
      </c>
      <c r="C217" s="12" t="str">
        <f>"202205290805"</f>
        <v>202205290805</v>
      </c>
      <c r="D217" s="13">
        <v>73.6</v>
      </c>
      <c r="E217" s="14">
        <v>72</v>
      </c>
      <c r="F217" s="14">
        <f t="shared" si="6"/>
        <v>145.6</v>
      </c>
      <c r="G217" s="14">
        <f t="shared" si="7"/>
        <v>60.5333333333333</v>
      </c>
    </row>
    <row r="218" s="1" customFormat="1" ht="18" customHeight="1" spans="1:7">
      <c r="A218" s="12">
        <v>216</v>
      </c>
      <c r="B218" s="12" t="s">
        <v>12</v>
      </c>
      <c r="C218" s="12" t="str">
        <f>"202205290806"</f>
        <v>202205290806</v>
      </c>
      <c r="D218" s="13">
        <v>0</v>
      </c>
      <c r="E218" s="14">
        <v>0</v>
      </c>
      <c r="F218" s="14">
        <f t="shared" si="6"/>
        <v>0</v>
      </c>
      <c r="G218" s="14">
        <f t="shared" si="7"/>
        <v>0</v>
      </c>
    </row>
    <row r="219" s="1" customFormat="1" ht="18" customHeight="1" spans="1:7">
      <c r="A219" s="12">
        <v>217</v>
      </c>
      <c r="B219" s="12" t="s">
        <v>12</v>
      </c>
      <c r="C219" s="12" t="str">
        <f>"202205290807"</f>
        <v>202205290807</v>
      </c>
      <c r="D219" s="13">
        <v>88.2</v>
      </c>
      <c r="E219" s="14">
        <v>75</v>
      </c>
      <c r="F219" s="14">
        <f t="shared" si="6"/>
        <v>163.2</v>
      </c>
      <c r="G219" s="14">
        <f t="shared" si="7"/>
        <v>66.9</v>
      </c>
    </row>
    <row r="220" s="1" customFormat="1" ht="18" customHeight="1" spans="1:7">
      <c r="A220" s="12">
        <v>218</v>
      </c>
      <c r="B220" s="12" t="s">
        <v>12</v>
      </c>
      <c r="C220" s="12" t="str">
        <f>"202205290808"</f>
        <v>202205290808</v>
      </c>
      <c r="D220" s="13">
        <v>0</v>
      </c>
      <c r="E220" s="14">
        <v>0</v>
      </c>
      <c r="F220" s="14">
        <f t="shared" si="6"/>
        <v>0</v>
      </c>
      <c r="G220" s="14">
        <f t="shared" si="7"/>
        <v>0</v>
      </c>
    </row>
    <row r="221" s="1" customFormat="1" ht="18" customHeight="1" spans="1:7">
      <c r="A221" s="12">
        <v>219</v>
      </c>
      <c r="B221" s="12" t="s">
        <v>12</v>
      </c>
      <c r="C221" s="12" t="str">
        <f>"202205290809"</f>
        <v>202205290809</v>
      </c>
      <c r="D221" s="13">
        <v>0</v>
      </c>
      <c r="E221" s="14">
        <v>0</v>
      </c>
      <c r="F221" s="14">
        <f t="shared" si="6"/>
        <v>0</v>
      </c>
      <c r="G221" s="14">
        <f t="shared" si="7"/>
        <v>0</v>
      </c>
    </row>
    <row r="222" s="1" customFormat="1" ht="18" customHeight="1" spans="1:7">
      <c r="A222" s="12">
        <v>220</v>
      </c>
      <c r="B222" s="12" t="s">
        <v>12</v>
      </c>
      <c r="C222" s="12" t="str">
        <f>"202205290810"</f>
        <v>202205290810</v>
      </c>
      <c r="D222" s="13">
        <v>40</v>
      </c>
      <c r="E222" s="14">
        <v>39</v>
      </c>
      <c r="F222" s="14">
        <f t="shared" si="6"/>
        <v>79</v>
      </c>
      <c r="G222" s="14">
        <f t="shared" si="7"/>
        <v>32.8333333333333</v>
      </c>
    </row>
    <row r="223" s="1" customFormat="1" ht="18" customHeight="1" spans="1:7">
      <c r="A223" s="12">
        <v>221</v>
      </c>
      <c r="B223" s="12" t="s">
        <v>12</v>
      </c>
      <c r="C223" s="12" t="str">
        <f>"202205290811"</f>
        <v>202205290811</v>
      </c>
      <c r="D223" s="13">
        <v>68.2</v>
      </c>
      <c r="E223" s="14">
        <v>69</v>
      </c>
      <c r="F223" s="14">
        <f t="shared" si="6"/>
        <v>137.2</v>
      </c>
      <c r="G223" s="14">
        <f t="shared" si="7"/>
        <v>57.2333333333333</v>
      </c>
    </row>
    <row r="224" s="1" customFormat="1" ht="18" customHeight="1" spans="1:7">
      <c r="A224" s="12">
        <v>222</v>
      </c>
      <c r="B224" s="12" t="s">
        <v>13</v>
      </c>
      <c r="C224" s="12" t="str">
        <f>"202205290812"</f>
        <v>202205290812</v>
      </c>
      <c r="D224" s="13">
        <v>64.2</v>
      </c>
      <c r="E224" s="14">
        <v>76</v>
      </c>
      <c r="F224" s="14">
        <f t="shared" si="6"/>
        <v>140.2</v>
      </c>
      <c r="G224" s="14">
        <f t="shared" si="7"/>
        <v>59.4</v>
      </c>
    </row>
    <row r="225" s="1" customFormat="1" ht="18" customHeight="1" spans="1:7">
      <c r="A225" s="12">
        <v>223</v>
      </c>
      <c r="B225" s="12" t="s">
        <v>13</v>
      </c>
      <c r="C225" s="12" t="str">
        <f>"202205290813"</f>
        <v>202205290813</v>
      </c>
      <c r="D225" s="13">
        <v>0</v>
      </c>
      <c r="E225" s="14">
        <v>0</v>
      </c>
      <c r="F225" s="14">
        <f t="shared" si="6"/>
        <v>0</v>
      </c>
      <c r="G225" s="14">
        <f t="shared" si="7"/>
        <v>0</v>
      </c>
    </row>
    <row r="226" s="1" customFormat="1" ht="18" customHeight="1" spans="1:7">
      <c r="A226" s="12">
        <v>224</v>
      </c>
      <c r="B226" s="12" t="s">
        <v>13</v>
      </c>
      <c r="C226" s="12" t="str">
        <f>"202205290814"</f>
        <v>202205290814</v>
      </c>
      <c r="D226" s="13">
        <v>82.4</v>
      </c>
      <c r="E226" s="14">
        <v>52</v>
      </c>
      <c r="F226" s="14">
        <f t="shared" si="6"/>
        <v>134.4</v>
      </c>
      <c r="G226" s="14">
        <f t="shared" si="7"/>
        <v>53.4666666666667</v>
      </c>
    </row>
    <row r="227" s="1" customFormat="1" ht="18" customHeight="1" spans="1:7">
      <c r="A227" s="12">
        <v>225</v>
      </c>
      <c r="B227" s="12" t="s">
        <v>13</v>
      </c>
      <c r="C227" s="12" t="str">
        <f>"202205290815"</f>
        <v>202205290815</v>
      </c>
      <c r="D227" s="13">
        <v>0</v>
      </c>
      <c r="E227" s="14">
        <v>0</v>
      </c>
      <c r="F227" s="14">
        <f t="shared" si="6"/>
        <v>0</v>
      </c>
      <c r="G227" s="14">
        <f t="shared" si="7"/>
        <v>0</v>
      </c>
    </row>
    <row r="228" s="1" customFormat="1" ht="18" customHeight="1" spans="1:7">
      <c r="A228" s="12">
        <v>226</v>
      </c>
      <c r="B228" s="12" t="s">
        <v>13</v>
      </c>
      <c r="C228" s="12" t="str">
        <f>"202205290816"</f>
        <v>202205290816</v>
      </c>
      <c r="D228" s="13">
        <v>75.8</v>
      </c>
      <c r="E228" s="14">
        <v>85</v>
      </c>
      <c r="F228" s="14">
        <f t="shared" si="6"/>
        <v>160.8</v>
      </c>
      <c r="G228" s="14">
        <f t="shared" si="7"/>
        <v>67.7666666666667</v>
      </c>
    </row>
    <row r="229" s="1" customFormat="1" ht="18" customHeight="1" spans="1:7">
      <c r="A229" s="12">
        <v>227</v>
      </c>
      <c r="B229" s="12" t="s">
        <v>13</v>
      </c>
      <c r="C229" s="12" t="str">
        <f>"202205290817"</f>
        <v>202205290817</v>
      </c>
      <c r="D229" s="13">
        <v>66.2</v>
      </c>
      <c r="E229" s="14">
        <v>71</v>
      </c>
      <c r="F229" s="14">
        <f t="shared" si="6"/>
        <v>137.2</v>
      </c>
      <c r="G229" s="14">
        <f t="shared" si="7"/>
        <v>57.5666666666667</v>
      </c>
    </row>
    <row r="230" s="1" customFormat="1" ht="18" customHeight="1" spans="1:7">
      <c r="A230" s="12">
        <v>228</v>
      </c>
      <c r="B230" s="12" t="s">
        <v>13</v>
      </c>
      <c r="C230" s="12" t="str">
        <f>"202205290818"</f>
        <v>202205290818</v>
      </c>
      <c r="D230" s="13">
        <v>81.2</v>
      </c>
      <c r="E230" s="14">
        <v>80</v>
      </c>
      <c r="F230" s="14">
        <f t="shared" si="6"/>
        <v>161.2</v>
      </c>
      <c r="G230" s="14">
        <f t="shared" si="7"/>
        <v>67.0666666666667</v>
      </c>
    </row>
    <row r="231" s="1" customFormat="1" ht="18" customHeight="1" spans="1:7">
      <c r="A231" s="12">
        <v>229</v>
      </c>
      <c r="B231" s="12" t="s">
        <v>13</v>
      </c>
      <c r="C231" s="12" t="str">
        <f>"202205290819"</f>
        <v>202205290819</v>
      </c>
      <c r="D231" s="13">
        <v>0</v>
      </c>
      <c r="E231" s="14">
        <v>0</v>
      </c>
      <c r="F231" s="14">
        <f t="shared" si="6"/>
        <v>0</v>
      </c>
      <c r="G231" s="14">
        <f t="shared" si="7"/>
        <v>0</v>
      </c>
    </row>
    <row r="232" s="1" customFormat="1" ht="18" customHeight="1" spans="1:7">
      <c r="A232" s="12">
        <v>230</v>
      </c>
      <c r="B232" s="12" t="s">
        <v>13</v>
      </c>
      <c r="C232" s="12" t="str">
        <f>"202205290820"</f>
        <v>202205290820</v>
      </c>
      <c r="D232" s="13">
        <v>0</v>
      </c>
      <c r="E232" s="14">
        <v>0</v>
      </c>
      <c r="F232" s="14">
        <f t="shared" si="6"/>
        <v>0</v>
      </c>
      <c r="G232" s="14">
        <f t="shared" si="7"/>
        <v>0</v>
      </c>
    </row>
    <row r="233" s="1" customFormat="1" ht="18" customHeight="1" spans="1:7">
      <c r="A233" s="12">
        <v>231</v>
      </c>
      <c r="B233" s="12" t="s">
        <v>13</v>
      </c>
      <c r="C233" s="12" t="str">
        <f>"202205290821"</f>
        <v>202205290821</v>
      </c>
      <c r="D233" s="13">
        <v>0</v>
      </c>
      <c r="E233" s="14">
        <v>0</v>
      </c>
      <c r="F233" s="14">
        <f t="shared" si="6"/>
        <v>0</v>
      </c>
      <c r="G233" s="14">
        <f t="shared" si="7"/>
        <v>0</v>
      </c>
    </row>
    <row r="234" s="1" customFormat="1" ht="18" customHeight="1" spans="1:7">
      <c r="A234" s="12">
        <v>232</v>
      </c>
      <c r="B234" s="12" t="s">
        <v>13</v>
      </c>
      <c r="C234" s="12" t="str">
        <f>"202205290822"</f>
        <v>202205290822</v>
      </c>
      <c r="D234" s="13">
        <v>89.6</v>
      </c>
      <c r="E234" s="14">
        <v>61</v>
      </c>
      <c r="F234" s="14">
        <f t="shared" si="6"/>
        <v>150.6</v>
      </c>
      <c r="G234" s="14">
        <f t="shared" si="7"/>
        <v>60.3666666666667</v>
      </c>
    </row>
    <row r="235" s="1" customFormat="1" ht="18" customHeight="1" spans="1:7">
      <c r="A235" s="12">
        <v>233</v>
      </c>
      <c r="B235" s="12" t="s">
        <v>13</v>
      </c>
      <c r="C235" s="12" t="str">
        <f>"202205290823"</f>
        <v>202205290823</v>
      </c>
      <c r="D235" s="13">
        <v>76.8</v>
      </c>
      <c r="E235" s="14">
        <v>70</v>
      </c>
      <c r="F235" s="14">
        <f t="shared" si="6"/>
        <v>146.8</v>
      </c>
      <c r="G235" s="14">
        <f t="shared" si="7"/>
        <v>60.6</v>
      </c>
    </row>
    <row r="236" s="1" customFormat="1" ht="18" customHeight="1" spans="1:7">
      <c r="A236" s="12">
        <v>234</v>
      </c>
      <c r="B236" s="12" t="s">
        <v>13</v>
      </c>
      <c r="C236" s="12" t="str">
        <f>"202205290824"</f>
        <v>202205290824</v>
      </c>
      <c r="D236" s="13">
        <v>85.2</v>
      </c>
      <c r="E236" s="14">
        <v>82</v>
      </c>
      <c r="F236" s="14">
        <f t="shared" si="6"/>
        <v>167.2</v>
      </c>
      <c r="G236" s="14">
        <f t="shared" si="7"/>
        <v>69.4</v>
      </c>
    </row>
    <row r="237" s="1" customFormat="1" ht="18" customHeight="1" spans="1:7">
      <c r="A237" s="12">
        <v>235</v>
      </c>
      <c r="B237" s="12" t="s">
        <v>13</v>
      </c>
      <c r="C237" s="12" t="str">
        <f>"202205290825"</f>
        <v>202205290825</v>
      </c>
      <c r="D237" s="13">
        <v>0</v>
      </c>
      <c r="E237" s="14">
        <v>0</v>
      </c>
      <c r="F237" s="14">
        <f t="shared" si="6"/>
        <v>0</v>
      </c>
      <c r="G237" s="14">
        <f t="shared" si="7"/>
        <v>0</v>
      </c>
    </row>
    <row r="238" s="1" customFormat="1" ht="18" customHeight="1" spans="1:7">
      <c r="A238" s="12">
        <v>236</v>
      </c>
      <c r="B238" s="12" t="s">
        <v>13</v>
      </c>
      <c r="C238" s="12" t="str">
        <f>"202205290826"</f>
        <v>202205290826</v>
      </c>
      <c r="D238" s="13">
        <v>0</v>
      </c>
      <c r="E238" s="14">
        <v>0</v>
      </c>
      <c r="F238" s="14">
        <f t="shared" si="6"/>
        <v>0</v>
      </c>
      <c r="G238" s="14">
        <f t="shared" si="7"/>
        <v>0</v>
      </c>
    </row>
    <row r="239" s="1" customFormat="1" ht="18" customHeight="1" spans="1:7">
      <c r="A239" s="12">
        <v>237</v>
      </c>
      <c r="B239" s="12" t="s">
        <v>13</v>
      </c>
      <c r="C239" s="12" t="str">
        <f>"202205290827"</f>
        <v>202205290827</v>
      </c>
      <c r="D239" s="13">
        <v>71.8</v>
      </c>
      <c r="E239" s="14">
        <v>60</v>
      </c>
      <c r="F239" s="14">
        <f t="shared" si="6"/>
        <v>131.8</v>
      </c>
      <c r="G239" s="14">
        <f t="shared" si="7"/>
        <v>53.9333333333333</v>
      </c>
    </row>
    <row r="240" s="1" customFormat="1" ht="18" customHeight="1" spans="1:7">
      <c r="A240" s="12">
        <v>238</v>
      </c>
      <c r="B240" s="12" t="s">
        <v>13</v>
      </c>
      <c r="C240" s="12" t="str">
        <f>"202205290828"</f>
        <v>202205290828</v>
      </c>
      <c r="D240" s="13">
        <v>87.4</v>
      </c>
      <c r="E240" s="14">
        <v>58</v>
      </c>
      <c r="F240" s="14">
        <f t="shared" si="6"/>
        <v>145.4</v>
      </c>
      <c r="G240" s="14">
        <f t="shared" si="7"/>
        <v>58.1333333333333</v>
      </c>
    </row>
    <row r="241" s="1" customFormat="1" ht="18" customHeight="1" spans="1:7">
      <c r="A241" s="12">
        <v>239</v>
      </c>
      <c r="B241" s="12" t="s">
        <v>13</v>
      </c>
      <c r="C241" s="12" t="str">
        <f>"202205290829"</f>
        <v>202205290829</v>
      </c>
      <c r="D241" s="13">
        <v>75.8</v>
      </c>
      <c r="E241" s="14">
        <v>74</v>
      </c>
      <c r="F241" s="14">
        <f t="shared" si="6"/>
        <v>149.8</v>
      </c>
      <c r="G241" s="14">
        <f t="shared" si="7"/>
        <v>62.2666666666667</v>
      </c>
    </row>
    <row r="242" s="1" customFormat="1" ht="18" customHeight="1" spans="1:7">
      <c r="A242" s="12">
        <v>240</v>
      </c>
      <c r="B242" s="12" t="s">
        <v>13</v>
      </c>
      <c r="C242" s="12" t="str">
        <f>"202205290830"</f>
        <v>202205290830</v>
      </c>
      <c r="D242" s="13">
        <v>0</v>
      </c>
      <c r="E242" s="14">
        <v>0</v>
      </c>
      <c r="F242" s="14">
        <f t="shared" si="6"/>
        <v>0</v>
      </c>
      <c r="G242" s="14">
        <f t="shared" si="7"/>
        <v>0</v>
      </c>
    </row>
    <row r="243" s="1" customFormat="1" ht="18" customHeight="1" spans="1:7">
      <c r="A243" s="12">
        <v>241</v>
      </c>
      <c r="B243" s="12" t="s">
        <v>13</v>
      </c>
      <c r="C243" s="12" t="str">
        <f>"202205290901"</f>
        <v>202205290901</v>
      </c>
      <c r="D243" s="13">
        <v>0</v>
      </c>
      <c r="E243" s="14">
        <v>0</v>
      </c>
      <c r="F243" s="14">
        <f t="shared" si="6"/>
        <v>0</v>
      </c>
      <c r="G243" s="14">
        <f t="shared" si="7"/>
        <v>0</v>
      </c>
    </row>
    <row r="244" s="1" customFormat="1" ht="18" customHeight="1" spans="1:7">
      <c r="A244" s="12">
        <v>242</v>
      </c>
      <c r="B244" s="12" t="s">
        <v>13</v>
      </c>
      <c r="C244" s="12" t="str">
        <f>"202205290902"</f>
        <v>202205290902</v>
      </c>
      <c r="D244" s="13">
        <v>57.6</v>
      </c>
      <c r="E244" s="14">
        <v>78</v>
      </c>
      <c r="F244" s="14">
        <f t="shared" si="6"/>
        <v>135.6</v>
      </c>
      <c r="G244" s="14">
        <f t="shared" si="7"/>
        <v>58.2</v>
      </c>
    </row>
    <row r="245" s="1" customFormat="1" ht="18" customHeight="1" spans="1:7">
      <c r="A245" s="12">
        <v>243</v>
      </c>
      <c r="B245" s="12" t="s">
        <v>13</v>
      </c>
      <c r="C245" s="12" t="str">
        <f>"202205290903"</f>
        <v>202205290903</v>
      </c>
      <c r="D245" s="13">
        <v>0</v>
      </c>
      <c r="E245" s="14">
        <v>0</v>
      </c>
      <c r="F245" s="14">
        <f t="shared" si="6"/>
        <v>0</v>
      </c>
      <c r="G245" s="14">
        <f t="shared" si="7"/>
        <v>0</v>
      </c>
    </row>
    <row r="246" s="1" customFormat="1" ht="18" customHeight="1" spans="1:7">
      <c r="A246" s="12">
        <v>244</v>
      </c>
      <c r="B246" s="12" t="s">
        <v>13</v>
      </c>
      <c r="C246" s="12" t="str">
        <f>"202205290904"</f>
        <v>202205290904</v>
      </c>
      <c r="D246" s="13">
        <v>73.8</v>
      </c>
      <c r="E246" s="14">
        <v>58</v>
      </c>
      <c r="F246" s="14">
        <f t="shared" si="6"/>
        <v>131.8</v>
      </c>
      <c r="G246" s="14">
        <f t="shared" si="7"/>
        <v>53.6</v>
      </c>
    </row>
    <row r="247" s="1" customFormat="1" ht="18" customHeight="1" spans="1:7">
      <c r="A247" s="12">
        <v>245</v>
      </c>
      <c r="B247" s="12" t="s">
        <v>13</v>
      </c>
      <c r="C247" s="12" t="str">
        <f>"202205290905"</f>
        <v>202205290905</v>
      </c>
      <c r="D247" s="13">
        <v>80.2</v>
      </c>
      <c r="E247" s="14">
        <v>76</v>
      </c>
      <c r="F247" s="14">
        <f t="shared" si="6"/>
        <v>156.2</v>
      </c>
      <c r="G247" s="14">
        <f t="shared" si="7"/>
        <v>64.7333333333333</v>
      </c>
    </row>
    <row r="248" s="1" customFormat="1" ht="18" customHeight="1" spans="1:7">
      <c r="A248" s="12">
        <v>246</v>
      </c>
      <c r="B248" s="12" t="s">
        <v>13</v>
      </c>
      <c r="C248" s="12" t="str">
        <f>"202205290906"</f>
        <v>202205290906</v>
      </c>
      <c r="D248" s="13">
        <v>70.2</v>
      </c>
      <c r="E248" s="14">
        <v>49</v>
      </c>
      <c r="F248" s="14">
        <f t="shared" si="6"/>
        <v>119.2</v>
      </c>
      <c r="G248" s="14">
        <f t="shared" si="7"/>
        <v>47.9</v>
      </c>
    </row>
    <row r="249" s="1" customFormat="1" ht="18" customHeight="1" spans="1:7">
      <c r="A249" s="12">
        <v>247</v>
      </c>
      <c r="B249" s="12" t="s">
        <v>13</v>
      </c>
      <c r="C249" s="12" t="str">
        <f>"202205290907"</f>
        <v>202205290907</v>
      </c>
      <c r="D249" s="13">
        <v>67</v>
      </c>
      <c r="E249" s="14">
        <v>66</v>
      </c>
      <c r="F249" s="14">
        <f t="shared" si="6"/>
        <v>133</v>
      </c>
      <c r="G249" s="14">
        <f t="shared" si="7"/>
        <v>55.3333333333333</v>
      </c>
    </row>
    <row r="250" s="1" customFormat="1" ht="18" customHeight="1" spans="1:7">
      <c r="A250" s="12">
        <v>248</v>
      </c>
      <c r="B250" s="12" t="s">
        <v>13</v>
      </c>
      <c r="C250" s="12" t="str">
        <f>"202205290908"</f>
        <v>202205290908</v>
      </c>
      <c r="D250" s="13">
        <v>0</v>
      </c>
      <c r="E250" s="14">
        <v>0</v>
      </c>
      <c r="F250" s="14">
        <f t="shared" si="6"/>
        <v>0</v>
      </c>
      <c r="G250" s="14">
        <f t="shared" si="7"/>
        <v>0</v>
      </c>
    </row>
    <row r="251" s="1" customFormat="1" ht="18" customHeight="1" spans="1:7">
      <c r="A251" s="12">
        <v>249</v>
      </c>
      <c r="B251" s="12" t="s">
        <v>13</v>
      </c>
      <c r="C251" s="12" t="str">
        <f>"202205290909"</f>
        <v>202205290909</v>
      </c>
      <c r="D251" s="13">
        <v>0</v>
      </c>
      <c r="E251" s="14">
        <v>0</v>
      </c>
      <c r="F251" s="14">
        <f t="shared" si="6"/>
        <v>0</v>
      </c>
      <c r="G251" s="14">
        <f t="shared" si="7"/>
        <v>0</v>
      </c>
    </row>
    <row r="252" s="1" customFormat="1" ht="18" customHeight="1" spans="1:7">
      <c r="A252" s="12">
        <v>250</v>
      </c>
      <c r="B252" s="12" t="s">
        <v>13</v>
      </c>
      <c r="C252" s="12" t="str">
        <f>"202205290910"</f>
        <v>202205290910</v>
      </c>
      <c r="D252" s="13">
        <v>55</v>
      </c>
      <c r="E252" s="14">
        <v>89</v>
      </c>
      <c r="F252" s="14">
        <f t="shared" si="6"/>
        <v>144</v>
      </c>
      <c r="G252" s="14">
        <f t="shared" si="7"/>
        <v>62.8333333333333</v>
      </c>
    </row>
    <row r="253" s="1" customFormat="1" ht="18" customHeight="1" spans="1:7">
      <c r="A253" s="12">
        <v>251</v>
      </c>
      <c r="B253" s="12" t="s">
        <v>13</v>
      </c>
      <c r="C253" s="12" t="str">
        <f>"202205290911"</f>
        <v>202205290911</v>
      </c>
      <c r="D253" s="13">
        <v>71.2</v>
      </c>
      <c r="E253" s="14">
        <v>81</v>
      </c>
      <c r="F253" s="14">
        <f t="shared" si="6"/>
        <v>152.2</v>
      </c>
      <c r="G253" s="14">
        <f t="shared" si="7"/>
        <v>64.2333333333333</v>
      </c>
    </row>
    <row r="254" s="1" customFormat="1" ht="18" customHeight="1" spans="1:7">
      <c r="A254" s="12">
        <v>252</v>
      </c>
      <c r="B254" s="12" t="s">
        <v>13</v>
      </c>
      <c r="C254" s="12" t="str">
        <f>"202205290912"</f>
        <v>202205290912</v>
      </c>
      <c r="D254" s="13">
        <v>0</v>
      </c>
      <c r="E254" s="14">
        <v>0</v>
      </c>
      <c r="F254" s="14">
        <f t="shared" si="6"/>
        <v>0</v>
      </c>
      <c r="G254" s="14">
        <f t="shared" si="7"/>
        <v>0</v>
      </c>
    </row>
    <row r="255" s="1" customFormat="1" ht="18" customHeight="1" spans="1:7">
      <c r="A255" s="12">
        <v>253</v>
      </c>
      <c r="B255" s="12" t="s">
        <v>13</v>
      </c>
      <c r="C255" s="12" t="str">
        <f>"202205290913"</f>
        <v>202205290913</v>
      </c>
      <c r="D255" s="13">
        <v>72.6</v>
      </c>
      <c r="E255" s="14">
        <v>59</v>
      </c>
      <c r="F255" s="14">
        <f t="shared" si="6"/>
        <v>131.6</v>
      </c>
      <c r="G255" s="14">
        <f t="shared" si="7"/>
        <v>53.7</v>
      </c>
    </row>
    <row r="256" s="1" customFormat="1" ht="18" customHeight="1" spans="1:7">
      <c r="A256" s="12">
        <v>254</v>
      </c>
      <c r="B256" s="12" t="s">
        <v>13</v>
      </c>
      <c r="C256" s="12" t="str">
        <f>"202205290914"</f>
        <v>202205290914</v>
      </c>
      <c r="D256" s="13">
        <v>74.8</v>
      </c>
      <c r="E256" s="14">
        <v>79</v>
      </c>
      <c r="F256" s="14">
        <f t="shared" si="6"/>
        <v>153.8</v>
      </c>
      <c r="G256" s="14">
        <f t="shared" si="7"/>
        <v>64.4333333333333</v>
      </c>
    </row>
    <row r="257" s="1" customFormat="1" ht="18" customHeight="1" spans="1:7">
      <c r="A257" s="12">
        <v>255</v>
      </c>
      <c r="B257" s="12" t="s">
        <v>13</v>
      </c>
      <c r="C257" s="12" t="str">
        <f>"202205290915"</f>
        <v>202205290915</v>
      </c>
      <c r="D257" s="13">
        <v>74.8</v>
      </c>
      <c r="E257" s="14">
        <v>81</v>
      </c>
      <c r="F257" s="14">
        <f t="shared" si="6"/>
        <v>155.8</v>
      </c>
      <c r="G257" s="14">
        <f t="shared" si="7"/>
        <v>65.4333333333333</v>
      </c>
    </row>
    <row r="258" s="1" customFormat="1" ht="18" customHeight="1" spans="1:7">
      <c r="A258" s="12">
        <v>256</v>
      </c>
      <c r="B258" s="12" t="s">
        <v>13</v>
      </c>
      <c r="C258" s="12" t="str">
        <f>"202205290916"</f>
        <v>202205290916</v>
      </c>
      <c r="D258" s="13">
        <v>0</v>
      </c>
      <c r="E258" s="14">
        <v>0</v>
      </c>
      <c r="F258" s="14">
        <f t="shared" si="6"/>
        <v>0</v>
      </c>
      <c r="G258" s="14">
        <f t="shared" si="7"/>
        <v>0</v>
      </c>
    </row>
    <row r="259" s="1" customFormat="1" ht="18" customHeight="1" spans="1:7">
      <c r="A259" s="12">
        <v>257</v>
      </c>
      <c r="B259" s="12" t="s">
        <v>13</v>
      </c>
      <c r="C259" s="12" t="str">
        <f>"202205290917"</f>
        <v>202205290917</v>
      </c>
      <c r="D259" s="13">
        <v>68.2</v>
      </c>
      <c r="E259" s="14">
        <v>81</v>
      </c>
      <c r="F259" s="14">
        <f t="shared" si="6"/>
        <v>149.2</v>
      </c>
      <c r="G259" s="14">
        <f t="shared" si="7"/>
        <v>63.2333333333333</v>
      </c>
    </row>
    <row r="260" s="1" customFormat="1" ht="18" customHeight="1" spans="1:7">
      <c r="A260" s="12">
        <v>258</v>
      </c>
      <c r="B260" s="12" t="s">
        <v>13</v>
      </c>
      <c r="C260" s="12" t="str">
        <f>"202205290918"</f>
        <v>202205290918</v>
      </c>
      <c r="D260" s="13">
        <v>0</v>
      </c>
      <c r="E260" s="14">
        <v>0</v>
      </c>
      <c r="F260" s="14">
        <f t="shared" ref="F260:F323" si="8">D260+E260</f>
        <v>0</v>
      </c>
      <c r="G260" s="14">
        <f t="shared" ref="G260:G323" si="9">D260/1.2*0.4+E260/1.2*0.6</f>
        <v>0</v>
      </c>
    </row>
    <row r="261" s="1" customFormat="1" ht="18" customHeight="1" spans="1:7">
      <c r="A261" s="12">
        <v>259</v>
      </c>
      <c r="B261" s="12" t="s">
        <v>13</v>
      </c>
      <c r="C261" s="12" t="str">
        <f>"202205290919"</f>
        <v>202205290919</v>
      </c>
      <c r="D261" s="13">
        <v>0</v>
      </c>
      <c r="E261" s="14">
        <v>0</v>
      </c>
      <c r="F261" s="14">
        <f t="shared" si="8"/>
        <v>0</v>
      </c>
      <c r="G261" s="14">
        <f t="shared" si="9"/>
        <v>0</v>
      </c>
    </row>
    <row r="262" s="1" customFormat="1" ht="18" customHeight="1" spans="1:7">
      <c r="A262" s="12">
        <v>260</v>
      </c>
      <c r="B262" s="12" t="s">
        <v>13</v>
      </c>
      <c r="C262" s="12" t="str">
        <f>"202205290920"</f>
        <v>202205290920</v>
      </c>
      <c r="D262" s="13">
        <v>0</v>
      </c>
      <c r="E262" s="14">
        <v>0</v>
      </c>
      <c r="F262" s="14">
        <f t="shared" si="8"/>
        <v>0</v>
      </c>
      <c r="G262" s="14">
        <f t="shared" si="9"/>
        <v>0</v>
      </c>
    </row>
    <row r="263" s="1" customFormat="1" ht="18" customHeight="1" spans="1:7">
      <c r="A263" s="12">
        <v>261</v>
      </c>
      <c r="B263" s="12" t="s">
        <v>13</v>
      </c>
      <c r="C263" s="12" t="str">
        <f>"202205290921"</f>
        <v>202205290921</v>
      </c>
      <c r="D263" s="13">
        <v>53.2</v>
      </c>
      <c r="E263" s="14">
        <v>48</v>
      </c>
      <c r="F263" s="14">
        <f t="shared" si="8"/>
        <v>101.2</v>
      </c>
      <c r="G263" s="14">
        <f t="shared" si="9"/>
        <v>41.7333333333333</v>
      </c>
    </row>
    <row r="264" s="1" customFormat="1" ht="18" customHeight="1" spans="1:7">
      <c r="A264" s="12">
        <v>262</v>
      </c>
      <c r="B264" s="12" t="s">
        <v>13</v>
      </c>
      <c r="C264" s="12" t="str">
        <f>"202205290922"</f>
        <v>202205290922</v>
      </c>
      <c r="D264" s="13">
        <v>74.8</v>
      </c>
      <c r="E264" s="14">
        <v>70</v>
      </c>
      <c r="F264" s="14">
        <f t="shared" si="8"/>
        <v>144.8</v>
      </c>
      <c r="G264" s="14">
        <f t="shared" si="9"/>
        <v>59.9333333333333</v>
      </c>
    </row>
    <row r="265" s="1" customFormat="1" ht="18" customHeight="1" spans="1:7">
      <c r="A265" s="12">
        <v>263</v>
      </c>
      <c r="B265" s="12" t="s">
        <v>13</v>
      </c>
      <c r="C265" s="12" t="str">
        <f>"202205290923"</f>
        <v>202205290923</v>
      </c>
      <c r="D265" s="13">
        <v>72.6</v>
      </c>
      <c r="E265" s="14">
        <v>84</v>
      </c>
      <c r="F265" s="14">
        <f t="shared" si="8"/>
        <v>156.6</v>
      </c>
      <c r="G265" s="14">
        <f t="shared" si="9"/>
        <v>66.2</v>
      </c>
    </row>
    <row r="266" s="1" customFormat="1" ht="18" customHeight="1" spans="1:7">
      <c r="A266" s="12">
        <v>264</v>
      </c>
      <c r="B266" s="12" t="s">
        <v>13</v>
      </c>
      <c r="C266" s="12" t="str">
        <f>"202205290924"</f>
        <v>202205290924</v>
      </c>
      <c r="D266" s="13">
        <v>81.6</v>
      </c>
      <c r="E266" s="14">
        <v>72</v>
      </c>
      <c r="F266" s="14">
        <f t="shared" si="8"/>
        <v>153.6</v>
      </c>
      <c r="G266" s="14">
        <f t="shared" si="9"/>
        <v>63.2</v>
      </c>
    </row>
    <row r="267" s="1" customFormat="1" ht="18" customHeight="1" spans="1:7">
      <c r="A267" s="12">
        <v>265</v>
      </c>
      <c r="B267" s="12" t="s">
        <v>13</v>
      </c>
      <c r="C267" s="12" t="str">
        <f>"202205290925"</f>
        <v>202205290925</v>
      </c>
      <c r="D267" s="13">
        <v>71.6</v>
      </c>
      <c r="E267" s="14">
        <v>78</v>
      </c>
      <c r="F267" s="14">
        <f t="shared" si="8"/>
        <v>149.6</v>
      </c>
      <c r="G267" s="14">
        <f t="shared" si="9"/>
        <v>62.8666666666667</v>
      </c>
    </row>
    <row r="268" s="1" customFormat="1" ht="18" customHeight="1" spans="1:7">
      <c r="A268" s="12">
        <v>266</v>
      </c>
      <c r="B268" s="12" t="s">
        <v>13</v>
      </c>
      <c r="C268" s="12" t="str">
        <f>"202205290926"</f>
        <v>202205290926</v>
      </c>
      <c r="D268" s="13">
        <v>0</v>
      </c>
      <c r="E268" s="14">
        <v>0</v>
      </c>
      <c r="F268" s="14">
        <f t="shared" si="8"/>
        <v>0</v>
      </c>
      <c r="G268" s="14">
        <f t="shared" si="9"/>
        <v>0</v>
      </c>
    </row>
    <row r="269" s="1" customFormat="1" ht="18" customHeight="1" spans="1:7">
      <c r="A269" s="12">
        <v>267</v>
      </c>
      <c r="B269" s="12" t="s">
        <v>13</v>
      </c>
      <c r="C269" s="12" t="str">
        <f>"202205290927"</f>
        <v>202205290927</v>
      </c>
      <c r="D269" s="13">
        <v>76.4</v>
      </c>
      <c r="E269" s="14">
        <v>77</v>
      </c>
      <c r="F269" s="14">
        <f t="shared" si="8"/>
        <v>153.4</v>
      </c>
      <c r="G269" s="14">
        <f t="shared" si="9"/>
        <v>63.9666666666667</v>
      </c>
    </row>
    <row r="270" s="1" customFormat="1" ht="18" customHeight="1" spans="1:7">
      <c r="A270" s="12">
        <v>268</v>
      </c>
      <c r="B270" s="12" t="s">
        <v>13</v>
      </c>
      <c r="C270" s="12" t="str">
        <f>"202205290928"</f>
        <v>202205290928</v>
      </c>
      <c r="D270" s="13">
        <v>0</v>
      </c>
      <c r="E270" s="14">
        <v>0</v>
      </c>
      <c r="F270" s="14">
        <f t="shared" si="8"/>
        <v>0</v>
      </c>
      <c r="G270" s="14">
        <f t="shared" si="9"/>
        <v>0</v>
      </c>
    </row>
    <row r="271" s="1" customFormat="1" ht="18" customHeight="1" spans="1:7">
      <c r="A271" s="12">
        <v>269</v>
      </c>
      <c r="B271" s="12" t="s">
        <v>13</v>
      </c>
      <c r="C271" s="12" t="str">
        <f>"202205290929"</f>
        <v>202205290929</v>
      </c>
      <c r="D271" s="13">
        <v>78.4</v>
      </c>
      <c r="E271" s="14">
        <v>83</v>
      </c>
      <c r="F271" s="14">
        <f t="shared" si="8"/>
        <v>161.4</v>
      </c>
      <c r="G271" s="14">
        <f t="shared" si="9"/>
        <v>67.6333333333333</v>
      </c>
    </row>
    <row r="272" s="1" customFormat="1" ht="18" customHeight="1" spans="1:7">
      <c r="A272" s="12">
        <v>270</v>
      </c>
      <c r="B272" s="12" t="s">
        <v>13</v>
      </c>
      <c r="C272" s="12" t="str">
        <f>"202205290930"</f>
        <v>202205290930</v>
      </c>
      <c r="D272" s="13">
        <v>0</v>
      </c>
      <c r="E272" s="14">
        <v>0</v>
      </c>
      <c r="F272" s="14">
        <f t="shared" si="8"/>
        <v>0</v>
      </c>
      <c r="G272" s="14">
        <f t="shared" si="9"/>
        <v>0</v>
      </c>
    </row>
    <row r="273" s="1" customFormat="1" ht="18" customHeight="1" spans="1:7">
      <c r="A273" s="12">
        <v>271</v>
      </c>
      <c r="B273" s="12" t="s">
        <v>13</v>
      </c>
      <c r="C273" s="12" t="str">
        <f>"202205291001"</f>
        <v>202205291001</v>
      </c>
      <c r="D273" s="13">
        <v>65.6</v>
      </c>
      <c r="E273" s="14">
        <v>49</v>
      </c>
      <c r="F273" s="14">
        <f t="shared" si="8"/>
        <v>114.6</v>
      </c>
      <c r="G273" s="14">
        <f t="shared" si="9"/>
        <v>46.3666666666667</v>
      </c>
    </row>
    <row r="274" s="1" customFormat="1" ht="18" customHeight="1" spans="1:7">
      <c r="A274" s="12">
        <v>272</v>
      </c>
      <c r="B274" s="12" t="s">
        <v>13</v>
      </c>
      <c r="C274" s="12" t="str">
        <f>"202205291002"</f>
        <v>202205291002</v>
      </c>
      <c r="D274" s="13">
        <v>84.4</v>
      </c>
      <c r="E274" s="14">
        <v>79</v>
      </c>
      <c r="F274" s="14">
        <f t="shared" si="8"/>
        <v>163.4</v>
      </c>
      <c r="G274" s="14">
        <f t="shared" si="9"/>
        <v>67.6333333333334</v>
      </c>
    </row>
    <row r="275" s="1" customFormat="1" ht="18" customHeight="1" spans="1:7">
      <c r="A275" s="12">
        <v>273</v>
      </c>
      <c r="B275" s="12" t="s">
        <v>13</v>
      </c>
      <c r="C275" s="12" t="str">
        <f>"202205291003"</f>
        <v>202205291003</v>
      </c>
      <c r="D275" s="13">
        <v>0</v>
      </c>
      <c r="E275" s="14">
        <v>0</v>
      </c>
      <c r="F275" s="14">
        <f t="shared" si="8"/>
        <v>0</v>
      </c>
      <c r="G275" s="14">
        <f t="shared" si="9"/>
        <v>0</v>
      </c>
    </row>
    <row r="276" s="1" customFormat="1" ht="18" customHeight="1" spans="1:7">
      <c r="A276" s="12">
        <v>274</v>
      </c>
      <c r="B276" s="12" t="s">
        <v>13</v>
      </c>
      <c r="C276" s="12" t="str">
        <f>"202205291004"</f>
        <v>202205291004</v>
      </c>
      <c r="D276" s="13">
        <v>0</v>
      </c>
      <c r="E276" s="14">
        <v>0</v>
      </c>
      <c r="F276" s="14">
        <f t="shared" si="8"/>
        <v>0</v>
      </c>
      <c r="G276" s="14">
        <f t="shared" si="9"/>
        <v>0</v>
      </c>
    </row>
    <row r="277" s="1" customFormat="1" ht="18" customHeight="1" spans="1:7">
      <c r="A277" s="12">
        <v>275</v>
      </c>
      <c r="B277" s="12" t="s">
        <v>13</v>
      </c>
      <c r="C277" s="12" t="str">
        <f>"202205291005"</f>
        <v>202205291005</v>
      </c>
      <c r="D277" s="13">
        <v>59</v>
      </c>
      <c r="E277" s="14">
        <v>69</v>
      </c>
      <c r="F277" s="14">
        <f t="shared" si="8"/>
        <v>128</v>
      </c>
      <c r="G277" s="14">
        <f t="shared" si="9"/>
        <v>54.1666666666667</v>
      </c>
    </row>
    <row r="278" s="1" customFormat="1" ht="18" customHeight="1" spans="1:7">
      <c r="A278" s="12">
        <v>276</v>
      </c>
      <c r="B278" s="12" t="s">
        <v>13</v>
      </c>
      <c r="C278" s="12" t="str">
        <f>"202205291006"</f>
        <v>202205291006</v>
      </c>
      <c r="D278" s="13">
        <v>0</v>
      </c>
      <c r="E278" s="14">
        <v>0</v>
      </c>
      <c r="F278" s="14">
        <f t="shared" si="8"/>
        <v>0</v>
      </c>
      <c r="G278" s="14">
        <f t="shared" si="9"/>
        <v>0</v>
      </c>
    </row>
    <row r="279" s="1" customFormat="1" ht="18" customHeight="1" spans="1:7">
      <c r="A279" s="12">
        <v>277</v>
      </c>
      <c r="B279" s="12" t="s">
        <v>13</v>
      </c>
      <c r="C279" s="12" t="str">
        <f>"202205291007"</f>
        <v>202205291007</v>
      </c>
      <c r="D279" s="13">
        <v>85.2</v>
      </c>
      <c r="E279" s="14">
        <v>76</v>
      </c>
      <c r="F279" s="14">
        <f t="shared" si="8"/>
        <v>161.2</v>
      </c>
      <c r="G279" s="14">
        <f t="shared" si="9"/>
        <v>66.4</v>
      </c>
    </row>
    <row r="280" s="1" customFormat="1" ht="18" customHeight="1" spans="1:7">
      <c r="A280" s="12">
        <v>278</v>
      </c>
      <c r="B280" s="12" t="s">
        <v>13</v>
      </c>
      <c r="C280" s="12" t="str">
        <f>"202205291008"</f>
        <v>202205291008</v>
      </c>
      <c r="D280" s="13">
        <v>0</v>
      </c>
      <c r="E280" s="14">
        <v>0</v>
      </c>
      <c r="F280" s="14">
        <f t="shared" si="8"/>
        <v>0</v>
      </c>
      <c r="G280" s="14">
        <f t="shared" si="9"/>
        <v>0</v>
      </c>
    </row>
    <row r="281" s="1" customFormat="1" ht="18" customHeight="1" spans="1:7">
      <c r="A281" s="12">
        <v>279</v>
      </c>
      <c r="B281" s="12" t="s">
        <v>13</v>
      </c>
      <c r="C281" s="12" t="str">
        <f>"202205291009"</f>
        <v>202205291009</v>
      </c>
      <c r="D281" s="13">
        <v>67.4</v>
      </c>
      <c r="E281" s="14">
        <v>76</v>
      </c>
      <c r="F281" s="14">
        <f t="shared" si="8"/>
        <v>143.4</v>
      </c>
      <c r="G281" s="14">
        <f t="shared" si="9"/>
        <v>60.4666666666667</v>
      </c>
    </row>
    <row r="282" s="1" customFormat="1" ht="18" customHeight="1" spans="1:7">
      <c r="A282" s="12">
        <v>280</v>
      </c>
      <c r="B282" s="12" t="s">
        <v>13</v>
      </c>
      <c r="C282" s="12" t="str">
        <f>"202205291010"</f>
        <v>202205291010</v>
      </c>
      <c r="D282" s="13">
        <v>0</v>
      </c>
      <c r="E282" s="14">
        <v>0</v>
      </c>
      <c r="F282" s="14">
        <f t="shared" si="8"/>
        <v>0</v>
      </c>
      <c r="G282" s="14">
        <f t="shared" si="9"/>
        <v>0</v>
      </c>
    </row>
    <row r="283" s="1" customFormat="1" ht="18" customHeight="1" spans="1:7">
      <c r="A283" s="12">
        <v>281</v>
      </c>
      <c r="B283" s="12" t="s">
        <v>13</v>
      </c>
      <c r="C283" s="12" t="str">
        <f>"202205291011"</f>
        <v>202205291011</v>
      </c>
      <c r="D283" s="13">
        <v>86.8</v>
      </c>
      <c r="E283" s="14">
        <v>85</v>
      </c>
      <c r="F283" s="14">
        <f t="shared" si="8"/>
        <v>171.8</v>
      </c>
      <c r="G283" s="14">
        <f t="shared" si="9"/>
        <v>71.4333333333333</v>
      </c>
    </row>
    <row r="284" s="1" customFormat="1" ht="18" customHeight="1" spans="1:7">
      <c r="A284" s="12">
        <v>282</v>
      </c>
      <c r="B284" s="12" t="s">
        <v>13</v>
      </c>
      <c r="C284" s="12" t="str">
        <f>"202205291012"</f>
        <v>202205291012</v>
      </c>
      <c r="D284" s="13">
        <v>0</v>
      </c>
      <c r="E284" s="14">
        <v>0</v>
      </c>
      <c r="F284" s="14">
        <f t="shared" si="8"/>
        <v>0</v>
      </c>
      <c r="G284" s="14">
        <f t="shared" si="9"/>
        <v>0</v>
      </c>
    </row>
    <row r="285" s="1" customFormat="1" ht="18" customHeight="1" spans="1:7">
      <c r="A285" s="12">
        <v>283</v>
      </c>
      <c r="B285" s="12" t="s">
        <v>13</v>
      </c>
      <c r="C285" s="12" t="str">
        <f>"202205291013"</f>
        <v>202205291013</v>
      </c>
      <c r="D285" s="13">
        <v>72.6</v>
      </c>
      <c r="E285" s="14">
        <v>84</v>
      </c>
      <c r="F285" s="14">
        <f t="shared" si="8"/>
        <v>156.6</v>
      </c>
      <c r="G285" s="14">
        <f t="shared" si="9"/>
        <v>66.2</v>
      </c>
    </row>
    <row r="286" s="1" customFormat="1" ht="18" customHeight="1" spans="1:7">
      <c r="A286" s="12">
        <v>284</v>
      </c>
      <c r="B286" s="12" t="s">
        <v>13</v>
      </c>
      <c r="C286" s="12" t="str">
        <f>"202205291014"</f>
        <v>202205291014</v>
      </c>
      <c r="D286" s="13">
        <v>71.8</v>
      </c>
      <c r="E286" s="14">
        <v>68</v>
      </c>
      <c r="F286" s="14">
        <f t="shared" si="8"/>
        <v>139.8</v>
      </c>
      <c r="G286" s="14">
        <f t="shared" si="9"/>
        <v>57.9333333333333</v>
      </c>
    </row>
    <row r="287" s="1" customFormat="1" ht="18" customHeight="1" spans="1:7">
      <c r="A287" s="12">
        <v>285</v>
      </c>
      <c r="B287" s="12" t="s">
        <v>14</v>
      </c>
      <c r="C287" s="12" t="str">
        <f>"202205291015"</f>
        <v>202205291015</v>
      </c>
      <c r="D287" s="13">
        <v>0</v>
      </c>
      <c r="E287" s="14">
        <v>0</v>
      </c>
      <c r="F287" s="14">
        <f t="shared" si="8"/>
        <v>0</v>
      </c>
      <c r="G287" s="14">
        <f t="shared" si="9"/>
        <v>0</v>
      </c>
    </row>
    <row r="288" s="1" customFormat="1" ht="18" customHeight="1" spans="1:7">
      <c r="A288" s="12">
        <v>286</v>
      </c>
      <c r="B288" s="12" t="s">
        <v>14</v>
      </c>
      <c r="C288" s="12" t="str">
        <f>"202205291016"</f>
        <v>202205291016</v>
      </c>
      <c r="D288" s="13">
        <v>0</v>
      </c>
      <c r="E288" s="14">
        <v>0</v>
      </c>
      <c r="F288" s="14">
        <f t="shared" si="8"/>
        <v>0</v>
      </c>
      <c r="G288" s="14">
        <f t="shared" si="9"/>
        <v>0</v>
      </c>
    </row>
    <row r="289" s="1" customFormat="1" ht="18" customHeight="1" spans="1:7">
      <c r="A289" s="12">
        <v>287</v>
      </c>
      <c r="B289" s="12" t="s">
        <v>14</v>
      </c>
      <c r="C289" s="12" t="str">
        <f>"202205291017"</f>
        <v>202205291017</v>
      </c>
      <c r="D289" s="13">
        <v>0</v>
      </c>
      <c r="E289" s="14">
        <v>0</v>
      </c>
      <c r="F289" s="14">
        <f t="shared" si="8"/>
        <v>0</v>
      </c>
      <c r="G289" s="14">
        <f t="shared" si="9"/>
        <v>0</v>
      </c>
    </row>
    <row r="290" s="1" customFormat="1" ht="18" customHeight="1" spans="1:7">
      <c r="A290" s="12">
        <v>288</v>
      </c>
      <c r="B290" s="12" t="s">
        <v>15</v>
      </c>
      <c r="C290" s="12" t="str">
        <f>"202205291018"</f>
        <v>202205291018</v>
      </c>
      <c r="D290" s="13">
        <v>0</v>
      </c>
      <c r="E290" s="14">
        <v>0</v>
      </c>
      <c r="F290" s="14">
        <f t="shared" si="8"/>
        <v>0</v>
      </c>
      <c r="G290" s="14">
        <f t="shared" si="9"/>
        <v>0</v>
      </c>
    </row>
    <row r="291" s="1" customFormat="1" ht="18" customHeight="1" spans="1:7">
      <c r="A291" s="12">
        <v>289</v>
      </c>
      <c r="B291" s="12" t="s">
        <v>15</v>
      </c>
      <c r="C291" s="12" t="str">
        <f>"202205291019"</f>
        <v>202205291019</v>
      </c>
      <c r="D291" s="13">
        <v>76.2</v>
      </c>
      <c r="E291" s="14">
        <v>65</v>
      </c>
      <c r="F291" s="14">
        <f t="shared" si="8"/>
        <v>141.2</v>
      </c>
      <c r="G291" s="14">
        <f t="shared" si="9"/>
        <v>57.9</v>
      </c>
    </row>
    <row r="292" s="1" customFormat="1" ht="18" customHeight="1" spans="1:7">
      <c r="A292" s="12">
        <v>290</v>
      </c>
      <c r="B292" s="12" t="s">
        <v>15</v>
      </c>
      <c r="C292" s="12" t="str">
        <f>"202205291020"</f>
        <v>202205291020</v>
      </c>
      <c r="D292" s="13">
        <v>80.8</v>
      </c>
      <c r="E292" s="14">
        <v>51</v>
      </c>
      <c r="F292" s="14">
        <f t="shared" si="8"/>
        <v>131.8</v>
      </c>
      <c r="G292" s="14">
        <f t="shared" si="9"/>
        <v>52.4333333333333</v>
      </c>
    </row>
    <row r="293" s="1" customFormat="1" ht="18" customHeight="1" spans="1:7">
      <c r="A293" s="12">
        <v>291</v>
      </c>
      <c r="B293" s="12" t="s">
        <v>15</v>
      </c>
      <c r="C293" s="12" t="str">
        <f>"202205291021"</f>
        <v>202205291021</v>
      </c>
      <c r="D293" s="13">
        <v>88.2</v>
      </c>
      <c r="E293" s="14">
        <v>72</v>
      </c>
      <c r="F293" s="14">
        <f t="shared" si="8"/>
        <v>160.2</v>
      </c>
      <c r="G293" s="14">
        <f t="shared" si="9"/>
        <v>65.4</v>
      </c>
    </row>
    <row r="294" s="1" customFormat="1" ht="18" customHeight="1" spans="1:7">
      <c r="A294" s="12">
        <v>292</v>
      </c>
      <c r="B294" s="12" t="s">
        <v>15</v>
      </c>
      <c r="C294" s="12" t="str">
        <f>"202205291022"</f>
        <v>202205291022</v>
      </c>
      <c r="D294" s="13">
        <v>76</v>
      </c>
      <c r="E294" s="14">
        <v>62</v>
      </c>
      <c r="F294" s="14">
        <f t="shared" si="8"/>
        <v>138</v>
      </c>
      <c r="G294" s="14">
        <f t="shared" si="9"/>
        <v>56.3333333333333</v>
      </c>
    </row>
    <row r="295" s="1" customFormat="1" ht="18" customHeight="1" spans="1:7">
      <c r="A295" s="12">
        <v>293</v>
      </c>
      <c r="B295" s="12" t="s">
        <v>15</v>
      </c>
      <c r="C295" s="12" t="str">
        <f>"202205291023"</f>
        <v>202205291023</v>
      </c>
      <c r="D295" s="13">
        <v>0</v>
      </c>
      <c r="E295" s="14">
        <v>0</v>
      </c>
      <c r="F295" s="14">
        <f t="shared" si="8"/>
        <v>0</v>
      </c>
      <c r="G295" s="14">
        <f t="shared" si="9"/>
        <v>0</v>
      </c>
    </row>
    <row r="296" s="1" customFormat="1" ht="18" customHeight="1" spans="1:7">
      <c r="A296" s="12">
        <v>294</v>
      </c>
      <c r="B296" s="12" t="s">
        <v>15</v>
      </c>
      <c r="C296" s="12" t="str">
        <f>"202205291024"</f>
        <v>202205291024</v>
      </c>
      <c r="D296" s="13">
        <v>65.6</v>
      </c>
      <c r="E296" s="14">
        <v>75</v>
      </c>
      <c r="F296" s="14">
        <f t="shared" si="8"/>
        <v>140.6</v>
      </c>
      <c r="G296" s="14">
        <f t="shared" si="9"/>
        <v>59.3666666666667</v>
      </c>
    </row>
    <row r="297" s="1" customFormat="1" ht="18" customHeight="1" spans="1:7">
      <c r="A297" s="12">
        <v>295</v>
      </c>
      <c r="B297" s="12" t="s">
        <v>15</v>
      </c>
      <c r="C297" s="12" t="str">
        <f>"202205291025"</f>
        <v>202205291025</v>
      </c>
      <c r="D297" s="13">
        <v>83</v>
      </c>
      <c r="E297" s="14">
        <v>91</v>
      </c>
      <c r="F297" s="14">
        <f t="shared" si="8"/>
        <v>174</v>
      </c>
      <c r="G297" s="14">
        <f t="shared" si="9"/>
        <v>73.1666666666667</v>
      </c>
    </row>
    <row r="298" s="1" customFormat="1" ht="18" customHeight="1" spans="1:7">
      <c r="A298" s="12">
        <v>296</v>
      </c>
      <c r="B298" s="12" t="s">
        <v>15</v>
      </c>
      <c r="C298" s="12" t="str">
        <f>"202205291026"</f>
        <v>202205291026</v>
      </c>
      <c r="D298" s="13">
        <v>91.4</v>
      </c>
      <c r="E298" s="14">
        <v>82</v>
      </c>
      <c r="F298" s="14">
        <f t="shared" si="8"/>
        <v>173.4</v>
      </c>
      <c r="G298" s="14">
        <f t="shared" si="9"/>
        <v>71.4666666666667</v>
      </c>
    </row>
    <row r="299" s="1" customFormat="1" ht="18" customHeight="1" spans="1:7">
      <c r="A299" s="12">
        <v>297</v>
      </c>
      <c r="B299" s="12" t="s">
        <v>15</v>
      </c>
      <c r="C299" s="12" t="str">
        <f>"202205291027"</f>
        <v>202205291027</v>
      </c>
      <c r="D299" s="13">
        <v>84.4</v>
      </c>
      <c r="E299" s="14">
        <v>52</v>
      </c>
      <c r="F299" s="14">
        <f t="shared" si="8"/>
        <v>136.4</v>
      </c>
      <c r="G299" s="14">
        <f t="shared" si="9"/>
        <v>54.1333333333333</v>
      </c>
    </row>
    <row r="300" s="1" customFormat="1" ht="18" customHeight="1" spans="1:7">
      <c r="A300" s="12">
        <v>298</v>
      </c>
      <c r="B300" s="12" t="s">
        <v>15</v>
      </c>
      <c r="C300" s="12" t="str">
        <f>"202205291028"</f>
        <v>202205291028</v>
      </c>
      <c r="D300" s="13">
        <v>83.4</v>
      </c>
      <c r="E300" s="14">
        <v>73</v>
      </c>
      <c r="F300" s="14">
        <f t="shared" si="8"/>
        <v>156.4</v>
      </c>
      <c r="G300" s="14">
        <f t="shared" si="9"/>
        <v>64.3</v>
      </c>
    </row>
    <row r="301" s="1" customFormat="1" ht="18" customHeight="1" spans="1:7">
      <c r="A301" s="12">
        <v>299</v>
      </c>
      <c r="B301" s="12" t="s">
        <v>15</v>
      </c>
      <c r="C301" s="12" t="str">
        <f>"202205291029"</f>
        <v>202205291029</v>
      </c>
      <c r="D301" s="13">
        <v>78.6</v>
      </c>
      <c r="E301" s="14">
        <v>38</v>
      </c>
      <c r="F301" s="14">
        <f t="shared" si="8"/>
        <v>116.6</v>
      </c>
      <c r="G301" s="14">
        <f t="shared" si="9"/>
        <v>45.2</v>
      </c>
    </row>
    <row r="302" s="1" customFormat="1" ht="18" customHeight="1" spans="1:7">
      <c r="A302" s="12">
        <v>300</v>
      </c>
      <c r="B302" s="12" t="s">
        <v>15</v>
      </c>
      <c r="C302" s="12" t="str">
        <f>"202205291030"</f>
        <v>202205291030</v>
      </c>
      <c r="D302" s="13">
        <v>0</v>
      </c>
      <c r="E302" s="14">
        <v>0</v>
      </c>
      <c r="F302" s="14">
        <f t="shared" si="8"/>
        <v>0</v>
      </c>
      <c r="G302" s="14">
        <f t="shared" si="9"/>
        <v>0</v>
      </c>
    </row>
    <row r="303" s="1" customFormat="1" ht="18" customHeight="1" spans="1:7">
      <c r="A303" s="12">
        <v>301</v>
      </c>
      <c r="B303" s="12" t="s">
        <v>15</v>
      </c>
      <c r="C303" s="12" t="str">
        <f>"202205291101"</f>
        <v>202205291101</v>
      </c>
      <c r="D303" s="13">
        <v>83.2</v>
      </c>
      <c r="E303" s="14">
        <v>78</v>
      </c>
      <c r="F303" s="14">
        <f t="shared" si="8"/>
        <v>161.2</v>
      </c>
      <c r="G303" s="14">
        <f t="shared" si="9"/>
        <v>66.7333333333333</v>
      </c>
    </row>
    <row r="304" s="1" customFormat="1" ht="18" customHeight="1" spans="1:7">
      <c r="A304" s="12">
        <v>302</v>
      </c>
      <c r="B304" s="12" t="s">
        <v>15</v>
      </c>
      <c r="C304" s="12" t="str">
        <f>"202205291102"</f>
        <v>202205291102</v>
      </c>
      <c r="D304" s="13">
        <v>0</v>
      </c>
      <c r="E304" s="14">
        <v>0</v>
      </c>
      <c r="F304" s="14">
        <f t="shared" si="8"/>
        <v>0</v>
      </c>
      <c r="G304" s="14">
        <f t="shared" si="9"/>
        <v>0</v>
      </c>
    </row>
    <row r="305" s="1" customFormat="1" ht="18" customHeight="1" spans="1:7">
      <c r="A305" s="12">
        <v>303</v>
      </c>
      <c r="B305" s="12" t="s">
        <v>15</v>
      </c>
      <c r="C305" s="12" t="str">
        <f>"202205291103"</f>
        <v>202205291103</v>
      </c>
      <c r="D305" s="13">
        <v>54.8</v>
      </c>
      <c r="E305" s="14">
        <v>35</v>
      </c>
      <c r="F305" s="14">
        <f t="shared" si="8"/>
        <v>89.8</v>
      </c>
      <c r="G305" s="14">
        <f t="shared" si="9"/>
        <v>35.7666666666667</v>
      </c>
    </row>
    <row r="306" s="1" customFormat="1" ht="18" customHeight="1" spans="1:7">
      <c r="A306" s="12">
        <v>304</v>
      </c>
      <c r="B306" s="12" t="s">
        <v>15</v>
      </c>
      <c r="C306" s="12" t="str">
        <f>"202205291104"</f>
        <v>202205291104</v>
      </c>
      <c r="D306" s="13">
        <v>74.6</v>
      </c>
      <c r="E306" s="14">
        <v>40</v>
      </c>
      <c r="F306" s="14">
        <f t="shared" si="8"/>
        <v>114.6</v>
      </c>
      <c r="G306" s="14">
        <f t="shared" si="9"/>
        <v>44.8666666666667</v>
      </c>
    </row>
    <row r="307" s="1" customFormat="1" ht="18" customHeight="1" spans="1:7">
      <c r="A307" s="12">
        <v>305</v>
      </c>
      <c r="B307" s="12" t="s">
        <v>15</v>
      </c>
      <c r="C307" s="12" t="str">
        <f>"202205291105"</f>
        <v>202205291105</v>
      </c>
      <c r="D307" s="13">
        <v>0</v>
      </c>
      <c r="E307" s="14">
        <v>0</v>
      </c>
      <c r="F307" s="14">
        <f t="shared" si="8"/>
        <v>0</v>
      </c>
      <c r="G307" s="14">
        <f t="shared" si="9"/>
        <v>0</v>
      </c>
    </row>
    <row r="308" s="1" customFormat="1" ht="18" customHeight="1" spans="1:7">
      <c r="A308" s="12">
        <v>306</v>
      </c>
      <c r="B308" s="12" t="s">
        <v>15</v>
      </c>
      <c r="C308" s="12" t="str">
        <f>"202205291106"</f>
        <v>202205291106</v>
      </c>
      <c r="D308" s="13">
        <v>75.2</v>
      </c>
      <c r="E308" s="14">
        <v>68</v>
      </c>
      <c r="F308" s="14">
        <f t="shared" si="8"/>
        <v>143.2</v>
      </c>
      <c r="G308" s="14">
        <f t="shared" si="9"/>
        <v>59.0666666666667</v>
      </c>
    </row>
    <row r="309" s="1" customFormat="1" ht="18" customHeight="1" spans="1:7">
      <c r="A309" s="12">
        <v>307</v>
      </c>
      <c r="B309" s="12" t="s">
        <v>15</v>
      </c>
      <c r="C309" s="12" t="str">
        <f>"202205291107"</f>
        <v>202205291107</v>
      </c>
      <c r="D309" s="13">
        <v>0</v>
      </c>
      <c r="E309" s="14">
        <v>0</v>
      </c>
      <c r="F309" s="14">
        <f t="shared" si="8"/>
        <v>0</v>
      </c>
      <c r="G309" s="14">
        <f t="shared" si="9"/>
        <v>0</v>
      </c>
    </row>
    <row r="310" s="1" customFormat="1" ht="18" customHeight="1" spans="1:7">
      <c r="A310" s="12">
        <v>308</v>
      </c>
      <c r="B310" s="12" t="s">
        <v>15</v>
      </c>
      <c r="C310" s="12" t="str">
        <f>"202205291108"</f>
        <v>202205291108</v>
      </c>
      <c r="D310" s="13">
        <v>0</v>
      </c>
      <c r="E310" s="14">
        <v>0</v>
      </c>
      <c r="F310" s="14">
        <f t="shared" si="8"/>
        <v>0</v>
      </c>
      <c r="G310" s="14">
        <f t="shared" si="9"/>
        <v>0</v>
      </c>
    </row>
    <row r="311" s="1" customFormat="1" ht="18" customHeight="1" spans="1:7">
      <c r="A311" s="12">
        <v>309</v>
      </c>
      <c r="B311" s="12" t="s">
        <v>15</v>
      </c>
      <c r="C311" s="12" t="str">
        <f>"202205291109"</f>
        <v>202205291109</v>
      </c>
      <c r="D311" s="13">
        <v>0</v>
      </c>
      <c r="E311" s="14">
        <v>0</v>
      </c>
      <c r="F311" s="14">
        <f t="shared" si="8"/>
        <v>0</v>
      </c>
      <c r="G311" s="14">
        <f t="shared" si="9"/>
        <v>0</v>
      </c>
    </row>
    <row r="312" s="1" customFormat="1" ht="18" customHeight="1" spans="1:7">
      <c r="A312" s="12">
        <v>310</v>
      </c>
      <c r="B312" s="12" t="s">
        <v>15</v>
      </c>
      <c r="C312" s="12" t="str">
        <f>"202205291110"</f>
        <v>202205291110</v>
      </c>
      <c r="D312" s="13">
        <v>45.2</v>
      </c>
      <c r="E312" s="14">
        <v>23</v>
      </c>
      <c r="F312" s="14">
        <f t="shared" si="8"/>
        <v>68.2</v>
      </c>
      <c r="G312" s="14">
        <f t="shared" si="9"/>
        <v>26.5666666666667</v>
      </c>
    </row>
    <row r="313" s="1" customFormat="1" ht="18" customHeight="1" spans="1:7">
      <c r="A313" s="12">
        <v>311</v>
      </c>
      <c r="B313" s="12" t="s">
        <v>15</v>
      </c>
      <c r="C313" s="12" t="str">
        <f>"202205291111"</f>
        <v>202205291111</v>
      </c>
      <c r="D313" s="13">
        <v>78.2</v>
      </c>
      <c r="E313" s="14">
        <v>76</v>
      </c>
      <c r="F313" s="14">
        <f t="shared" si="8"/>
        <v>154.2</v>
      </c>
      <c r="G313" s="14">
        <f t="shared" si="9"/>
        <v>64.0666666666667</v>
      </c>
    </row>
    <row r="314" s="1" customFormat="1" ht="18" customHeight="1" spans="1:7">
      <c r="A314" s="12">
        <v>312</v>
      </c>
      <c r="B314" s="12" t="s">
        <v>16</v>
      </c>
      <c r="C314" s="12" t="str">
        <f>"202205291112"</f>
        <v>202205291112</v>
      </c>
      <c r="D314" s="13">
        <v>66.6</v>
      </c>
      <c r="E314" s="14">
        <v>44</v>
      </c>
      <c r="F314" s="14">
        <f t="shared" si="8"/>
        <v>110.6</v>
      </c>
      <c r="G314" s="14">
        <f t="shared" si="9"/>
        <v>44.2</v>
      </c>
    </row>
    <row r="315" s="1" customFormat="1" ht="18" customHeight="1" spans="1:7">
      <c r="A315" s="12">
        <v>313</v>
      </c>
      <c r="B315" s="12" t="s">
        <v>16</v>
      </c>
      <c r="C315" s="12" t="str">
        <f>"202205291113"</f>
        <v>202205291113</v>
      </c>
      <c r="D315" s="13">
        <v>71.2</v>
      </c>
      <c r="E315" s="14">
        <v>58</v>
      </c>
      <c r="F315" s="14">
        <f t="shared" si="8"/>
        <v>129.2</v>
      </c>
      <c r="G315" s="14">
        <f t="shared" si="9"/>
        <v>52.7333333333333</v>
      </c>
    </row>
    <row r="316" s="1" customFormat="1" ht="18" customHeight="1" spans="1:7">
      <c r="A316" s="12">
        <v>314</v>
      </c>
      <c r="B316" s="12" t="s">
        <v>16</v>
      </c>
      <c r="C316" s="12" t="str">
        <f>"202205291114"</f>
        <v>202205291114</v>
      </c>
      <c r="D316" s="13">
        <v>62</v>
      </c>
      <c r="E316" s="14">
        <v>52</v>
      </c>
      <c r="F316" s="14">
        <f t="shared" si="8"/>
        <v>114</v>
      </c>
      <c r="G316" s="14">
        <f t="shared" si="9"/>
        <v>46.6666666666667</v>
      </c>
    </row>
    <row r="317" s="1" customFormat="1" ht="18" customHeight="1" spans="1:7">
      <c r="A317" s="12">
        <v>315</v>
      </c>
      <c r="B317" s="12" t="s">
        <v>16</v>
      </c>
      <c r="C317" s="12" t="str">
        <f>"202205291115"</f>
        <v>202205291115</v>
      </c>
      <c r="D317" s="13">
        <v>65.4</v>
      </c>
      <c r="E317" s="14">
        <v>42</v>
      </c>
      <c r="F317" s="14">
        <f t="shared" si="8"/>
        <v>107.4</v>
      </c>
      <c r="G317" s="14">
        <f t="shared" si="9"/>
        <v>42.8</v>
      </c>
    </row>
    <row r="318" s="1" customFormat="1" ht="18" customHeight="1" spans="1:7">
      <c r="A318" s="12">
        <v>316</v>
      </c>
      <c r="B318" s="12" t="s">
        <v>16</v>
      </c>
      <c r="C318" s="12" t="str">
        <f>"202205291116"</f>
        <v>202205291116</v>
      </c>
      <c r="D318" s="13">
        <v>73.6</v>
      </c>
      <c r="E318" s="14">
        <v>44</v>
      </c>
      <c r="F318" s="14">
        <f t="shared" si="8"/>
        <v>117.6</v>
      </c>
      <c r="G318" s="14">
        <f t="shared" si="9"/>
        <v>46.5333333333333</v>
      </c>
    </row>
    <row r="319" s="1" customFormat="1" ht="18" customHeight="1" spans="1:7">
      <c r="A319" s="12">
        <v>317</v>
      </c>
      <c r="B319" s="12" t="s">
        <v>16</v>
      </c>
      <c r="C319" s="12" t="str">
        <f>"202205291117"</f>
        <v>202205291117</v>
      </c>
      <c r="D319" s="13">
        <v>0</v>
      </c>
      <c r="E319" s="14">
        <v>0</v>
      </c>
      <c r="F319" s="14">
        <f t="shared" si="8"/>
        <v>0</v>
      </c>
      <c r="G319" s="14">
        <f t="shared" si="9"/>
        <v>0</v>
      </c>
    </row>
    <row r="320" s="1" customFormat="1" ht="18" customHeight="1" spans="1:7">
      <c r="A320" s="12">
        <v>318</v>
      </c>
      <c r="B320" s="12" t="s">
        <v>16</v>
      </c>
      <c r="C320" s="12" t="str">
        <f>"202205291118"</f>
        <v>202205291118</v>
      </c>
      <c r="D320" s="13">
        <v>76.4</v>
      </c>
      <c r="E320" s="14">
        <v>26</v>
      </c>
      <c r="F320" s="14">
        <f t="shared" si="8"/>
        <v>102.4</v>
      </c>
      <c r="G320" s="14">
        <f t="shared" si="9"/>
        <v>38.4666666666667</v>
      </c>
    </row>
    <row r="321" s="1" customFormat="1" ht="18" customHeight="1" spans="1:7">
      <c r="A321" s="12">
        <v>319</v>
      </c>
      <c r="B321" s="12" t="s">
        <v>16</v>
      </c>
      <c r="C321" s="12" t="str">
        <f>"202205291119"</f>
        <v>202205291119</v>
      </c>
      <c r="D321" s="13">
        <v>74</v>
      </c>
      <c r="E321" s="14">
        <v>44</v>
      </c>
      <c r="F321" s="14">
        <f t="shared" si="8"/>
        <v>118</v>
      </c>
      <c r="G321" s="14">
        <f t="shared" si="9"/>
        <v>46.6666666666667</v>
      </c>
    </row>
    <row r="322" s="1" customFormat="1" ht="18" customHeight="1" spans="1:7">
      <c r="A322" s="12">
        <v>320</v>
      </c>
      <c r="B322" s="12" t="s">
        <v>16</v>
      </c>
      <c r="C322" s="12" t="str">
        <f>"202205291120"</f>
        <v>202205291120</v>
      </c>
      <c r="D322" s="13">
        <v>76.6</v>
      </c>
      <c r="E322" s="14">
        <v>66</v>
      </c>
      <c r="F322" s="14">
        <f t="shared" si="8"/>
        <v>142.6</v>
      </c>
      <c r="G322" s="14">
        <f t="shared" si="9"/>
        <v>58.5333333333333</v>
      </c>
    </row>
    <row r="323" s="1" customFormat="1" ht="18" customHeight="1" spans="1:7">
      <c r="A323" s="12">
        <v>321</v>
      </c>
      <c r="B323" s="12" t="s">
        <v>16</v>
      </c>
      <c r="C323" s="12" t="str">
        <f>"202205291121"</f>
        <v>202205291121</v>
      </c>
      <c r="D323" s="13">
        <v>69.6</v>
      </c>
      <c r="E323" s="14">
        <v>61</v>
      </c>
      <c r="F323" s="14">
        <f t="shared" si="8"/>
        <v>130.6</v>
      </c>
      <c r="G323" s="14">
        <f t="shared" si="9"/>
        <v>53.7</v>
      </c>
    </row>
    <row r="324" s="1" customFormat="1" ht="18" customHeight="1" spans="1:7">
      <c r="A324" s="12">
        <v>322</v>
      </c>
      <c r="B324" s="12" t="s">
        <v>16</v>
      </c>
      <c r="C324" s="12" t="str">
        <f>"202205291122"</f>
        <v>202205291122</v>
      </c>
      <c r="D324" s="13">
        <v>0</v>
      </c>
      <c r="E324" s="14">
        <v>0</v>
      </c>
      <c r="F324" s="14">
        <f t="shared" ref="F324:F387" si="10">D324+E324</f>
        <v>0</v>
      </c>
      <c r="G324" s="14">
        <f t="shared" ref="G324:G387" si="11">D324/1.2*0.4+E324/1.2*0.6</f>
        <v>0</v>
      </c>
    </row>
    <row r="325" s="1" customFormat="1" ht="18" customHeight="1" spans="1:7">
      <c r="A325" s="12">
        <v>323</v>
      </c>
      <c r="B325" s="12" t="s">
        <v>16</v>
      </c>
      <c r="C325" s="12" t="str">
        <f>"202205291123"</f>
        <v>202205291123</v>
      </c>
      <c r="D325" s="13">
        <v>0</v>
      </c>
      <c r="E325" s="14">
        <v>0</v>
      </c>
      <c r="F325" s="14">
        <f t="shared" si="10"/>
        <v>0</v>
      </c>
      <c r="G325" s="14">
        <f t="shared" si="11"/>
        <v>0</v>
      </c>
    </row>
    <row r="326" s="1" customFormat="1" ht="18" customHeight="1" spans="1:7">
      <c r="A326" s="12">
        <v>324</v>
      </c>
      <c r="B326" s="12" t="s">
        <v>16</v>
      </c>
      <c r="C326" s="12" t="str">
        <f>"202205291124"</f>
        <v>202205291124</v>
      </c>
      <c r="D326" s="13">
        <v>0</v>
      </c>
      <c r="E326" s="14">
        <v>0</v>
      </c>
      <c r="F326" s="14">
        <f t="shared" si="10"/>
        <v>0</v>
      </c>
      <c r="G326" s="14">
        <f t="shared" si="11"/>
        <v>0</v>
      </c>
    </row>
    <row r="327" s="1" customFormat="1" ht="18" customHeight="1" spans="1:7">
      <c r="A327" s="12">
        <v>325</v>
      </c>
      <c r="B327" s="12" t="s">
        <v>16</v>
      </c>
      <c r="C327" s="12" t="str">
        <f>"202205291125"</f>
        <v>202205291125</v>
      </c>
      <c r="D327" s="13">
        <v>0</v>
      </c>
      <c r="E327" s="14">
        <v>0</v>
      </c>
      <c r="F327" s="14">
        <f t="shared" si="10"/>
        <v>0</v>
      </c>
      <c r="G327" s="14">
        <f t="shared" si="11"/>
        <v>0</v>
      </c>
    </row>
    <row r="328" s="1" customFormat="1" ht="18" customHeight="1" spans="1:7">
      <c r="A328" s="12">
        <v>326</v>
      </c>
      <c r="B328" s="12" t="s">
        <v>16</v>
      </c>
      <c r="C328" s="12" t="str">
        <f>"202205291126"</f>
        <v>202205291126</v>
      </c>
      <c r="D328" s="13">
        <v>70.6</v>
      </c>
      <c r="E328" s="14">
        <v>62</v>
      </c>
      <c r="F328" s="14">
        <f t="shared" si="10"/>
        <v>132.6</v>
      </c>
      <c r="G328" s="14">
        <f t="shared" si="11"/>
        <v>54.5333333333333</v>
      </c>
    </row>
    <row r="329" s="1" customFormat="1" ht="18" customHeight="1" spans="1:7">
      <c r="A329" s="12">
        <v>327</v>
      </c>
      <c r="B329" s="12" t="s">
        <v>16</v>
      </c>
      <c r="C329" s="12" t="str">
        <f>"202205291127"</f>
        <v>202205291127</v>
      </c>
      <c r="D329" s="13">
        <v>0</v>
      </c>
      <c r="E329" s="14">
        <v>0</v>
      </c>
      <c r="F329" s="14">
        <f t="shared" si="10"/>
        <v>0</v>
      </c>
      <c r="G329" s="14">
        <f t="shared" si="11"/>
        <v>0</v>
      </c>
    </row>
    <row r="330" s="1" customFormat="1" ht="18" customHeight="1" spans="1:7">
      <c r="A330" s="12">
        <v>328</v>
      </c>
      <c r="B330" s="12" t="s">
        <v>16</v>
      </c>
      <c r="C330" s="12" t="str">
        <f>"202205291128"</f>
        <v>202205291128</v>
      </c>
      <c r="D330" s="13">
        <v>70.8</v>
      </c>
      <c r="E330" s="14">
        <v>50</v>
      </c>
      <c r="F330" s="14">
        <f t="shared" si="10"/>
        <v>120.8</v>
      </c>
      <c r="G330" s="14">
        <f t="shared" si="11"/>
        <v>48.6</v>
      </c>
    </row>
    <row r="331" s="1" customFormat="1" ht="18" customHeight="1" spans="1:7">
      <c r="A331" s="12">
        <v>329</v>
      </c>
      <c r="B331" s="12" t="s">
        <v>16</v>
      </c>
      <c r="C331" s="12" t="str">
        <f>"202205291129"</f>
        <v>202205291129</v>
      </c>
      <c r="D331" s="13">
        <v>89.4</v>
      </c>
      <c r="E331" s="14">
        <v>57</v>
      </c>
      <c r="F331" s="14">
        <f t="shared" si="10"/>
        <v>146.4</v>
      </c>
      <c r="G331" s="14">
        <f t="shared" si="11"/>
        <v>58.3</v>
      </c>
    </row>
    <row r="332" s="1" customFormat="1" ht="18" customHeight="1" spans="1:7">
      <c r="A332" s="12">
        <v>330</v>
      </c>
      <c r="B332" s="12" t="s">
        <v>16</v>
      </c>
      <c r="C332" s="12" t="str">
        <f>"202205291130"</f>
        <v>202205291130</v>
      </c>
      <c r="D332" s="13">
        <v>72.2</v>
      </c>
      <c r="E332" s="14">
        <v>55</v>
      </c>
      <c r="F332" s="14">
        <f t="shared" si="10"/>
        <v>127.2</v>
      </c>
      <c r="G332" s="14">
        <f t="shared" si="11"/>
        <v>51.5666666666667</v>
      </c>
    </row>
    <row r="333" s="1" customFormat="1" ht="18" customHeight="1" spans="1:7">
      <c r="A333" s="12">
        <v>331</v>
      </c>
      <c r="B333" s="12" t="s">
        <v>16</v>
      </c>
      <c r="C333" s="12" t="str">
        <f>"202205291201"</f>
        <v>202205291201</v>
      </c>
      <c r="D333" s="13">
        <v>0</v>
      </c>
      <c r="E333" s="14">
        <v>0</v>
      </c>
      <c r="F333" s="14">
        <f t="shared" si="10"/>
        <v>0</v>
      </c>
      <c r="G333" s="14">
        <f t="shared" si="11"/>
        <v>0</v>
      </c>
    </row>
    <row r="334" s="1" customFormat="1" ht="18" customHeight="1" spans="1:7">
      <c r="A334" s="12">
        <v>332</v>
      </c>
      <c r="B334" s="12" t="s">
        <v>16</v>
      </c>
      <c r="C334" s="12" t="str">
        <f>"202205291202"</f>
        <v>202205291202</v>
      </c>
      <c r="D334" s="13">
        <v>83</v>
      </c>
      <c r="E334" s="14">
        <v>55</v>
      </c>
      <c r="F334" s="14">
        <f t="shared" si="10"/>
        <v>138</v>
      </c>
      <c r="G334" s="14">
        <f t="shared" si="11"/>
        <v>55.1666666666667</v>
      </c>
    </row>
    <row r="335" s="1" customFormat="1" ht="18" customHeight="1" spans="1:7">
      <c r="A335" s="12">
        <v>333</v>
      </c>
      <c r="B335" s="12" t="s">
        <v>16</v>
      </c>
      <c r="C335" s="12" t="str">
        <f>"202205291203"</f>
        <v>202205291203</v>
      </c>
      <c r="D335" s="13">
        <v>83.2</v>
      </c>
      <c r="E335" s="14">
        <v>58</v>
      </c>
      <c r="F335" s="14">
        <f t="shared" si="10"/>
        <v>141.2</v>
      </c>
      <c r="G335" s="14">
        <f t="shared" si="11"/>
        <v>56.7333333333333</v>
      </c>
    </row>
    <row r="336" s="1" customFormat="1" ht="18" customHeight="1" spans="1:7">
      <c r="A336" s="12">
        <v>334</v>
      </c>
      <c r="B336" s="12" t="s">
        <v>16</v>
      </c>
      <c r="C336" s="12" t="str">
        <f>"202205291204"</f>
        <v>202205291204</v>
      </c>
      <c r="D336" s="13">
        <v>65.6</v>
      </c>
      <c r="E336" s="14">
        <v>32</v>
      </c>
      <c r="F336" s="14">
        <f t="shared" si="10"/>
        <v>97.6</v>
      </c>
      <c r="G336" s="14">
        <f t="shared" si="11"/>
        <v>37.8666666666667</v>
      </c>
    </row>
    <row r="337" s="1" customFormat="1" ht="18" customHeight="1" spans="1:7">
      <c r="A337" s="12">
        <v>335</v>
      </c>
      <c r="B337" s="12" t="s">
        <v>16</v>
      </c>
      <c r="C337" s="12" t="str">
        <f>"202205291205"</f>
        <v>202205291205</v>
      </c>
      <c r="D337" s="13">
        <v>0</v>
      </c>
      <c r="E337" s="14">
        <v>0</v>
      </c>
      <c r="F337" s="14">
        <f t="shared" si="10"/>
        <v>0</v>
      </c>
      <c r="G337" s="14">
        <f t="shared" si="11"/>
        <v>0</v>
      </c>
    </row>
    <row r="338" s="1" customFormat="1" ht="18" customHeight="1" spans="1:7">
      <c r="A338" s="12">
        <v>336</v>
      </c>
      <c r="B338" s="12" t="s">
        <v>16</v>
      </c>
      <c r="C338" s="12" t="str">
        <f>"202205291206"</f>
        <v>202205291206</v>
      </c>
      <c r="D338" s="13">
        <v>65.8</v>
      </c>
      <c r="E338" s="14">
        <v>65</v>
      </c>
      <c r="F338" s="14">
        <f t="shared" si="10"/>
        <v>130.8</v>
      </c>
      <c r="G338" s="14">
        <f t="shared" si="11"/>
        <v>54.4333333333333</v>
      </c>
    </row>
    <row r="339" s="1" customFormat="1" ht="18" customHeight="1" spans="1:7">
      <c r="A339" s="12">
        <v>337</v>
      </c>
      <c r="B339" s="12" t="s">
        <v>16</v>
      </c>
      <c r="C339" s="12" t="str">
        <f>"202205291207"</f>
        <v>202205291207</v>
      </c>
      <c r="D339" s="13">
        <v>78.4</v>
      </c>
      <c r="E339" s="14">
        <v>52</v>
      </c>
      <c r="F339" s="14">
        <f t="shared" si="10"/>
        <v>130.4</v>
      </c>
      <c r="G339" s="14">
        <f t="shared" si="11"/>
        <v>52.1333333333333</v>
      </c>
    </row>
    <row r="340" s="1" customFormat="1" ht="18" customHeight="1" spans="1:7">
      <c r="A340" s="12">
        <v>338</v>
      </c>
      <c r="B340" s="12" t="s">
        <v>16</v>
      </c>
      <c r="C340" s="12" t="str">
        <f>"202205291208"</f>
        <v>202205291208</v>
      </c>
      <c r="D340" s="13">
        <v>0</v>
      </c>
      <c r="E340" s="14">
        <v>0</v>
      </c>
      <c r="F340" s="14">
        <f t="shared" si="10"/>
        <v>0</v>
      </c>
      <c r="G340" s="14">
        <f t="shared" si="11"/>
        <v>0</v>
      </c>
    </row>
    <row r="341" s="1" customFormat="1" ht="18" customHeight="1" spans="1:7">
      <c r="A341" s="12">
        <v>339</v>
      </c>
      <c r="B341" s="12" t="s">
        <v>16</v>
      </c>
      <c r="C341" s="12" t="str">
        <f>"202205291209"</f>
        <v>202205291209</v>
      </c>
      <c r="D341" s="13">
        <v>0</v>
      </c>
      <c r="E341" s="14">
        <v>0</v>
      </c>
      <c r="F341" s="14">
        <f t="shared" si="10"/>
        <v>0</v>
      </c>
      <c r="G341" s="14">
        <f t="shared" si="11"/>
        <v>0</v>
      </c>
    </row>
    <row r="342" s="1" customFormat="1" ht="18" customHeight="1" spans="1:7">
      <c r="A342" s="12">
        <v>340</v>
      </c>
      <c r="B342" s="12" t="s">
        <v>16</v>
      </c>
      <c r="C342" s="12" t="str">
        <f>"202205291210"</f>
        <v>202205291210</v>
      </c>
      <c r="D342" s="13">
        <v>0</v>
      </c>
      <c r="E342" s="14">
        <v>0</v>
      </c>
      <c r="F342" s="14">
        <f t="shared" si="10"/>
        <v>0</v>
      </c>
      <c r="G342" s="14">
        <f t="shared" si="11"/>
        <v>0</v>
      </c>
    </row>
    <row r="343" s="1" customFormat="1" ht="18" customHeight="1" spans="1:7">
      <c r="A343" s="12">
        <v>341</v>
      </c>
      <c r="B343" s="12" t="s">
        <v>16</v>
      </c>
      <c r="C343" s="12" t="str">
        <f>"202205291211"</f>
        <v>202205291211</v>
      </c>
      <c r="D343" s="13">
        <v>70.6</v>
      </c>
      <c r="E343" s="14">
        <v>48</v>
      </c>
      <c r="F343" s="14">
        <f t="shared" si="10"/>
        <v>118.6</v>
      </c>
      <c r="G343" s="14">
        <f t="shared" si="11"/>
        <v>47.5333333333333</v>
      </c>
    </row>
    <row r="344" s="1" customFormat="1" ht="18" customHeight="1" spans="1:7">
      <c r="A344" s="12">
        <v>342</v>
      </c>
      <c r="B344" s="12" t="s">
        <v>16</v>
      </c>
      <c r="C344" s="12" t="str">
        <f>"202205291212"</f>
        <v>202205291212</v>
      </c>
      <c r="D344" s="13">
        <v>0</v>
      </c>
      <c r="E344" s="14">
        <v>0</v>
      </c>
      <c r="F344" s="14">
        <f t="shared" si="10"/>
        <v>0</v>
      </c>
      <c r="G344" s="14">
        <f t="shared" si="11"/>
        <v>0</v>
      </c>
    </row>
    <row r="345" s="1" customFormat="1" ht="18" customHeight="1" spans="1:7">
      <c r="A345" s="12">
        <v>343</v>
      </c>
      <c r="B345" s="12" t="s">
        <v>16</v>
      </c>
      <c r="C345" s="12" t="str">
        <f>"202205291213"</f>
        <v>202205291213</v>
      </c>
      <c r="D345" s="13">
        <v>0</v>
      </c>
      <c r="E345" s="14">
        <v>0</v>
      </c>
      <c r="F345" s="14">
        <f t="shared" si="10"/>
        <v>0</v>
      </c>
      <c r="G345" s="14">
        <f t="shared" si="11"/>
        <v>0</v>
      </c>
    </row>
    <row r="346" s="1" customFormat="1" ht="18" customHeight="1" spans="1:7">
      <c r="A346" s="12">
        <v>344</v>
      </c>
      <c r="B346" s="12" t="s">
        <v>16</v>
      </c>
      <c r="C346" s="12" t="str">
        <f>"202205291214"</f>
        <v>202205291214</v>
      </c>
      <c r="D346" s="13">
        <v>87</v>
      </c>
      <c r="E346" s="14">
        <v>61</v>
      </c>
      <c r="F346" s="14">
        <f t="shared" si="10"/>
        <v>148</v>
      </c>
      <c r="G346" s="14">
        <f t="shared" si="11"/>
        <v>59.5</v>
      </c>
    </row>
    <row r="347" s="1" customFormat="1" ht="18" customHeight="1" spans="1:7">
      <c r="A347" s="12">
        <v>345</v>
      </c>
      <c r="B347" s="12" t="s">
        <v>16</v>
      </c>
      <c r="C347" s="12" t="str">
        <f>"202205291215"</f>
        <v>202205291215</v>
      </c>
      <c r="D347" s="13">
        <v>68</v>
      </c>
      <c r="E347" s="14">
        <v>20</v>
      </c>
      <c r="F347" s="14">
        <f t="shared" si="10"/>
        <v>88</v>
      </c>
      <c r="G347" s="14">
        <f t="shared" si="11"/>
        <v>32.6666666666667</v>
      </c>
    </row>
    <row r="348" s="1" customFormat="1" ht="18" customHeight="1" spans="1:7">
      <c r="A348" s="12">
        <v>346</v>
      </c>
      <c r="B348" s="12" t="s">
        <v>16</v>
      </c>
      <c r="C348" s="12" t="str">
        <f>"202205291216"</f>
        <v>202205291216</v>
      </c>
      <c r="D348" s="13">
        <v>73.4</v>
      </c>
      <c r="E348" s="14">
        <v>60</v>
      </c>
      <c r="F348" s="14">
        <f t="shared" si="10"/>
        <v>133.4</v>
      </c>
      <c r="G348" s="14">
        <f t="shared" si="11"/>
        <v>54.4666666666667</v>
      </c>
    </row>
    <row r="349" s="1" customFormat="1" ht="18" customHeight="1" spans="1:7">
      <c r="A349" s="12">
        <v>347</v>
      </c>
      <c r="B349" s="12" t="s">
        <v>16</v>
      </c>
      <c r="C349" s="12" t="str">
        <f>"202205291217"</f>
        <v>202205291217</v>
      </c>
      <c r="D349" s="13">
        <v>0</v>
      </c>
      <c r="E349" s="14">
        <v>0</v>
      </c>
      <c r="F349" s="14">
        <f t="shared" si="10"/>
        <v>0</v>
      </c>
      <c r="G349" s="14">
        <f t="shared" si="11"/>
        <v>0</v>
      </c>
    </row>
    <row r="350" s="1" customFormat="1" ht="18" customHeight="1" spans="1:7">
      <c r="A350" s="12">
        <v>348</v>
      </c>
      <c r="B350" s="12" t="s">
        <v>16</v>
      </c>
      <c r="C350" s="12" t="str">
        <f>"202205291218"</f>
        <v>202205291218</v>
      </c>
      <c r="D350" s="13">
        <v>78.2</v>
      </c>
      <c r="E350" s="14">
        <v>32</v>
      </c>
      <c r="F350" s="14">
        <f t="shared" si="10"/>
        <v>110.2</v>
      </c>
      <c r="G350" s="14">
        <f t="shared" si="11"/>
        <v>42.0666666666667</v>
      </c>
    </row>
    <row r="351" s="1" customFormat="1" ht="18" customHeight="1" spans="1:7">
      <c r="A351" s="12">
        <v>349</v>
      </c>
      <c r="B351" s="12" t="s">
        <v>16</v>
      </c>
      <c r="C351" s="12" t="str">
        <f>"202205291219"</f>
        <v>202205291219</v>
      </c>
      <c r="D351" s="13">
        <v>74</v>
      </c>
      <c r="E351" s="14">
        <v>42</v>
      </c>
      <c r="F351" s="14">
        <f t="shared" si="10"/>
        <v>116</v>
      </c>
      <c r="G351" s="14">
        <f t="shared" si="11"/>
        <v>45.6666666666667</v>
      </c>
    </row>
    <row r="352" s="1" customFormat="1" ht="18" customHeight="1" spans="1:7">
      <c r="A352" s="12">
        <v>350</v>
      </c>
      <c r="B352" s="12" t="s">
        <v>16</v>
      </c>
      <c r="C352" s="12" t="str">
        <f>"202205291220"</f>
        <v>202205291220</v>
      </c>
      <c r="D352" s="13">
        <v>0</v>
      </c>
      <c r="E352" s="14">
        <v>0</v>
      </c>
      <c r="F352" s="14">
        <f t="shared" si="10"/>
        <v>0</v>
      </c>
      <c r="G352" s="14">
        <f t="shared" si="11"/>
        <v>0</v>
      </c>
    </row>
    <row r="353" s="1" customFormat="1" ht="18" customHeight="1" spans="1:7">
      <c r="A353" s="12">
        <v>351</v>
      </c>
      <c r="B353" s="12" t="s">
        <v>16</v>
      </c>
      <c r="C353" s="12" t="str">
        <f>"202205291221"</f>
        <v>202205291221</v>
      </c>
      <c r="D353" s="13">
        <v>0</v>
      </c>
      <c r="E353" s="14">
        <v>0</v>
      </c>
      <c r="F353" s="14">
        <f t="shared" si="10"/>
        <v>0</v>
      </c>
      <c r="G353" s="14">
        <f t="shared" si="11"/>
        <v>0</v>
      </c>
    </row>
    <row r="354" s="1" customFormat="1" ht="18" customHeight="1" spans="1:7">
      <c r="A354" s="12">
        <v>352</v>
      </c>
      <c r="B354" s="12" t="s">
        <v>16</v>
      </c>
      <c r="C354" s="12" t="str">
        <f>"202205291222"</f>
        <v>202205291222</v>
      </c>
      <c r="D354" s="13">
        <v>0</v>
      </c>
      <c r="E354" s="14">
        <v>0</v>
      </c>
      <c r="F354" s="14">
        <f t="shared" si="10"/>
        <v>0</v>
      </c>
      <c r="G354" s="14">
        <f t="shared" si="11"/>
        <v>0</v>
      </c>
    </row>
    <row r="355" s="1" customFormat="1" ht="18" customHeight="1" spans="1:7">
      <c r="A355" s="12">
        <v>353</v>
      </c>
      <c r="B355" s="12" t="s">
        <v>16</v>
      </c>
      <c r="C355" s="12" t="str">
        <f>"202205291223"</f>
        <v>202205291223</v>
      </c>
      <c r="D355" s="13">
        <v>0</v>
      </c>
      <c r="E355" s="14">
        <v>0</v>
      </c>
      <c r="F355" s="14">
        <f t="shared" si="10"/>
        <v>0</v>
      </c>
      <c r="G355" s="14">
        <f t="shared" si="11"/>
        <v>0</v>
      </c>
    </row>
    <row r="356" s="1" customFormat="1" ht="18" customHeight="1" spans="1:7">
      <c r="A356" s="12">
        <v>354</v>
      </c>
      <c r="B356" s="12" t="s">
        <v>16</v>
      </c>
      <c r="C356" s="12" t="str">
        <f>"202205291224"</f>
        <v>202205291224</v>
      </c>
      <c r="D356" s="13">
        <v>62.4</v>
      </c>
      <c r="E356" s="14">
        <v>39</v>
      </c>
      <c r="F356" s="14">
        <f t="shared" si="10"/>
        <v>101.4</v>
      </c>
      <c r="G356" s="14">
        <f t="shared" si="11"/>
        <v>40.3</v>
      </c>
    </row>
    <row r="357" s="1" customFormat="1" ht="18" customHeight="1" spans="1:7">
      <c r="A357" s="12">
        <v>355</v>
      </c>
      <c r="B357" s="12" t="s">
        <v>16</v>
      </c>
      <c r="C357" s="12" t="str">
        <f>"202205291225"</f>
        <v>202205291225</v>
      </c>
      <c r="D357" s="13">
        <v>58.6</v>
      </c>
      <c r="E357" s="14">
        <v>43</v>
      </c>
      <c r="F357" s="14">
        <f t="shared" si="10"/>
        <v>101.6</v>
      </c>
      <c r="G357" s="14">
        <f t="shared" si="11"/>
        <v>41.0333333333333</v>
      </c>
    </row>
    <row r="358" s="1" customFormat="1" ht="18" customHeight="1" spans="1:7">
      <c r="A358" s="12">
        <v>356</v>
      </c>
      <c r="B358" s="12" t="s">
        <v>16</v>
      </c>
      <c r="C358" s="12" t="str">
        <f>"202205291226"</f>
        <v>202205291226</v>
      </c>
      <c r="D358" s="13">
        <v>56</v>
      </c>
      <c r="E358" s="14">
        <v>23</v>
      </c>
      <c r="F358" s="14">
        <f t="shared" si="10"/>
        <v>79</v>
      </c>
      <c r="G358" s="14">
        <f t="shared" si="11"/>
        <v>30.1666666666667</v>
      </c>
    </row>
    <row r="359" s="1" customFormat="1" ht="18" customHeight="1" spans="1:7">
      <c r="A359" s="12">
        <v>357</v>
      </c>
      <c r="B359" s="12" t="s">
        <v>16</v>
      </c>
      <c r="C359" s="12" t="str">
        <f>"202205291227"</f>
        <v>202205291227</v>
      </c>
      <c r="D359" s="13">
        <v>0</v>
      </c>
      <c r="E359" s="14">
        <v>0</v>
      </c>
      <c r="F359" s="14">
        <f t="shared" si="10"/>
        <v>0</v>
      </c>
      <c r="G359" s="14">
        <f t="shared" si="11"/>
        <v>0</v>
      </c>
    </row>
    <row r="360" s="1" customFormat="1" ht="18" customHeight="1" spans="1:7">
      <c r="A360" s="12">
        <v>358</v>
      </c>
      <c r="B360" s="12" t="s">
        <v>16</v>
      </c>
      <c r="C360" s="12" t="str">
        <f>"202205291228"</f>
        <v>202205291228</v>
      </c>
      <c r="D360" s="13">
        <v>0</v>
      </c>
      <c r="E360" s="14">
        <v>0</v>
      </c>
      <c r="F360" s="14">
        <f t="shared" si="10"/>
        <v>0</v>
      </c>
      <c r="G360" s="14">
        <f t="shared" si="11"/>
        <v>0</v>
      </c>
    </row>
    <row r="361" s="1" customFormat="1" ht="18" customHeight="1" spans="1:7">
      <c r="A361" s="12">
        <v>359</v>
      </c>
      <c r="B361" s="12" t="s">
        <v>16</v>
      </c>
      <c r="C361" s="12" t="str">
        <f>"202205291229"</f>
        <v>202205291229</v>
      </c>
      <c r="D361" s="13">
        <v>0</v>
      </c>
      <c r="E361" s="14">
        <v>0</v>
      </c>
      <c r="F361" s="14">
        <f t="shared" si="10"/>
        <v>0</v>
      </c>
      <c r="G361" s="14">
        <f t="shared" si="11"/>
        <v>0</v>
      </c>
    </row>
    <row r="362" s="1" customFormat="1" ht="18" customHeight="1" spans="1:7">
      <c r="A362" s="12">
        <v>360</v>
      </c>
      <c r="B362" s="12" t="s">
        <v>16</v>
      </c>
      <c r="C362" s="12" t="str">
        <f>"202205291230"</f>
        <v>202205291230</v>
      </c>
      <c r="D362" s="13">
        <v>0</v>
      </c>
      <c r="E362" s="14">
        <v>0</v>
      </c>
      <c r="F362" s="14">
        <f t="shared" si="10"/>
        <v>0</v>
      </c>
      <c r="G362" s="14">
        <f t="shared" si="11"/>
        <v>0</v>
      </c>
    </row>
    <row r="363" s="1" customFormat="1" ht="18" customHeight="1" spans="1:7">
      <c r="A363" s="12">
        <v>361</v>
      </c>
      <c r="B363" s="12" t="s">
        <v>16</v>
      </c>
      <c r="C363" s="12" t="str">
        <f>"202205291301"</f>
        <v>202205291301</v>
      </c>
      <c r="D363" s="13">
        <v>0</v>
      </c>
      <c r="E363" s="14">
        <v>0</v>
      </c>
      <c r="F363" s="14">
        <f t="shared" si="10"/>
        <v>0</v>
      </c>
      <c r="G363" s="14">
        <f t="shared" si="11"/>
        <v>0</v>
      </c>
    </row>
    <row r="364" s="1" customFormat="1" ht="18" customHeight="1" spans="1:7">
      <c r="A364" s="12">
        <v>362</v>
      </c>
      <c r="B364" s="12" t="s">
        <v>16</v>
      </c>
      <c r="C364" s="12" t="str">
        <f>"202205291302"</f>
        <v>202205291302</v>
      </c>
      <c r="D364" s="13">
        <v>0</v>
      </c>
      <c r="E364" s="14">
        <v>0</v>
      </c>
      <c r="F364" s="14">
        <f t="shared" si="10"/>
        <v>0</v>
      </c>
      <c r="G364" s="14">
        <f t="shared" si="11"/>
        <v>0</v>
      </c>
    </row>
    <row r="365" s="1" customFormat="1" ht="18" customHeight="1" spans="1:7">
      <c r="A365" s="12">
        <v>363</v>
      </c>
      <c r="B365" s="12" t="s">
        <v>16</v>
      </c>
      <c r="C365" s="12" t="str">
        <f>"202205291303"</f>
        <v>202205291303</v>
      </c>
      <c r="D365" s="13">
        <v>0</v>
      </c>
      <c r="E365" s="14">
        <v>0</v>
      </c>
      <c r="F365" s="14">
        <f t="shared" si="10"/>
        <v>0</v>
      </c>
      <c r="G365" s="14">
        <f t="shared" si="11"/>
        <v>0</v>
      </c>
    </row>
    <row r="366" s="1" customFormat="1" ht="18" customHeight="1" spans="1:7">
      <c r="A366" s="12">
        <v>364</v>
      </c>
      <c r="B366" s="12" t="s">
        <v>16</v>
      </c>
      <c r="C366" s="12" t="str">
        <f>"202205291304"</f>
        <v>202205291304</v>
      </c>
      <c r="D366" s="13">
        <v>0</v>
      </c>
      <c r="E366" s="14">
        <v>0</v>
      </c>
      <c r="F366" s="14">
        <f t="shared" si="10"/>
        <v>0</v>
      </c>
      <c r="G366" s="14">
        <f t="shared" si="11"/>
        <v>0</v>
      </c>
    </row>
    <row r="367" s="1" customFormat="1" ht="18" customHeight="1" spans="1:7">
      <c r="A367" s="12">
        <v>365</v>
      </c>
      <c r="B367" s="12" t="s">
        <v>16</v>
      </c>
      <c r="C367" s="12" t="str">
        <f>"202205291305"</f>
        <v>202205291305</v>
      </c>
      <c r="D367" s="13">
        <v>58.4</v>
      </c>
      <c r="E367" s="14">
        <v>33</v>
      </c>
      <c r="F367" s="14">
        <f t="shared" si="10"/>
        <v>91.4</v>
      </c>
      <c r="G367" s="14">
        <f t="shared" si="11"/>
        <v>35.9666666666667</v>
      </c>
    </row>
    <row r="368" s="1" customFormat="1" ht="18" customHeight="1" spans="1:7">
      <c r="A368" s="12">
        <v>366</v>
      </c>
      <c r="B368" s="12" t="s">
        <v>16</v>
      </c>
      <c r="C368" s="12" t="str">
        <f>"202205291306"</f>
        <v>202205291306</v>
      </c>
      <c r="D368" s="13">
        <v>0</v>
      </c>
      <c r="E368" s="14">
        <v>0</v>
      </c>
      <c r="F368" s="14">
        <f t="shared" si="10"/>
        <v>0</v>
      </c>
      <c r="G368" s="14">
        <f t="shared" si="11"/>
        <v>0</v>
      </c>
    </row>
    <row r="369" s="1" customFormat="1" ht="18" customHeight="1" spans="1:7">
      <c r="A369" s="12">
        <v>367</v>
      </c>
      <c r="B369" s="12" t="s">
        <v>16</v>
      </c>
      <c r="C369" s="12" t="str">
        <f>"202205291307"</f>
        <v>202205291307</v>
      </c>
      <c r="D369" s="13">
        <v>0</v>
      </c>
      <c r="E369" s="14">
        <v>0</v>
      </c>
      <c r="F369" s="14">
        <f t="shared" si="10"/>
        <v>0</v>
      </c>
      <c r="G369" s="14">
        <f t="shared" si="11"/>
        <v>0</v>
      </c>
    </row>
    <row r="370" s="1" customFormat="1" ht="18" customHeight="1" spans="1:7">
      <c r="A370" s="12">
        <v>368</v>
      </c>
      <c r="B370" s="12" t="s">
        <v>16</v>
      </c>
      <c r="C370" s="12" t="str">
        <f>"202205291308"</f>
        <v>202205291308</v>
      </c>
      <c r="D370" s="13">
        <v>62</v>
      </c>
      <c r="E370" s="14">
        <v>15</v>
      </c>
      <c r="F370" s="14">
        <f t="shared" si="10"/>
        <v>77</v>
      </c>
      <c r="G370" s="14">
        <f t="shared" si="11"/>
        <v>28.1666666666667</v>
      </c>
    </row>
    <row r="371" s="1" customFormat="1" ht="18" customHeight="1" spans="1:7">
      <c r="A371" s="12">
        <v>369</v>
      </c>
      <c r="B371" s="12" t="s">
        <v>16</v>
      </c>
      <c r="C371" s="12" t="str">
        <f>"202205291309"</f>
        <v>202205291309</v>
      </c>
      <c r="D371" s="13">
        <v>77</v>
      </c>
      <c r="E371" s="14">
        <v>50</v>
      </c>
      <c r="F371" s="14">
        <f t="shared" si="10"/>
        <v>127</v>
      </c>
      <c r="G371" s="14">
        <f t="shared" si="11"/>
        <v>50.6666666666667</v>
      </c>
    </row>
    <row r="372" s="1" customFormat="1" ht="18" customHeight="1" spans="1:7">
      <c r="A372" s="12">
        <v>370</v>
      </c>
      <c r="B372" s="12" t="s">
        <v>16</v>
      </c>
      <c r="C372" s="12" t="str">
        <f>"202205291310"</f>
        <v>202205291310</v>
      </c>
      <c r="D372" s="13">
        <v>71.2</v>
      </c>
      <c r="E372" s="14">
        <v>8</v>
      </c>
      <c r="F372" s="14">
        <f t="shared" si="10"/>
        <v>79.2</v>
      </c>
      <c r="G372" s="14">
        <f t="shared" si="11"/>
        <v>27.7333333333333</v>
      </c>
    </row>
    <row r="373" s="1" customFormat="1" ht="18" customHeight="1" spans="1:7">
      <c r="A373" s="12">
        <v>371</v>
      </c>
      <c r="B373" s="12" t="s">
        <v>16</v>
      </c>
      <c r="C373" s="12" t="str">
        <f>"202205291311"</f>
        <v>202205291311</v>
      </c>
      <c r="D373" s="13">
        <v>77.4</v>
      </c>
      <c r="E373" s="14">
        <v>28</v>
      </c>
      <c r="F373" s="14">
        <f t="shared" si="10"/>
        <v>105.4</v>
      </c>
      <c r="G373" s="14">
        <f t="shared" si="11"/>
        <v>39.8</v>
      </c>
    </row>
    <row r="374" s="1" customFormat="1" ht="18" customHeight="1" spans="1:7">
      <c r="A374" s="12">
        <v>372</v>
      </c>
      <c r="B374" s="12" t="s">
        <v>16</v>
      </c>
      <c r="C374" s="12" t="str">
        <f>"202205291312"</f>
        <v>202205291312</v>
      </c>
      <c r="D374" s="13">
        <v>57</v>
      </c>
      <c r="E374" s="14">
        <v>55</v>
      </c>
      <c r="F374" s="14">
        <f t="shared" si="10"/>
        <v>112</v>
      </c>
      <c r="G374" s="14">
        <f t="shared" si="11"/>
        <v>46.5</v>
      </c>
    </row>
    <row r="375" s="1" customFormat="1" ht="18" customHeight="1" spans="1:7">
      <c r="A375" s="12">
        <v>373</v>
      </c>
      <c r="B375" s="12" t="s">
        <v>16</v>
      </c>
      <c r="C375" s="12" t="str">
        <f>"202205291313"</f>
        <v>202205291313</v>
      </c>
      <c r="D375" s="13">
        <v>75</v>
      </c>
      <c r="E375" s="14">
        <v>75</v>
      </c>
      <c r="F375" s="14">
        <f t="shared" si="10"/>
        <v>150</v>
      </c>
      <c r="G375" s="14">
        <f t="shared" si="11"/>
        <v>62.5</v>
      </c>
    </row>
    <row r="376" s="1" customFormat="1" ht="18" customHeight="1" spans="1:7">
      <c r="A376" s="12">
        <v>374</v>
      </c>
      <c r="B376" s="12" t="s">
        <v>16</v>
      </c>
      <c r="C376" s="12" t="str">
        <f>"202205291314"</f>
        <v>202205291314</v>
      </c>
      <c r="D376" s="13">
        <v>0</v>
      </c>
      <c r="E376" s="14">
        <v>0</v>
      </c>
      <c r="F376" s="14">
        <f t="shared" si="10"/>
        <v>0</v>
      </c>
      <c r="G376" s="14">
        <f t="shared" si="11"/>
        <v>0</v>
      </c>
    </row>
    <row r="377" s="1" customFormat="1" ht="18" customHeight="1" spans="1:7">
      <c r="A377" s="12">
        <v>375</v>
      </c>
      <c r="B377" s="12" t="s">
        <v>16</v>
      </c>
      <c r="C377" s="12" t="str">
        <f>"202205291315"</f>
        <v>202205291315</v>
      </c>
      <c r="D377" s="13">
        <v>0</v>
      </c>
      <c r="E377" s="14">
        <v>0</v>
      </c>
      <c r="F377" s="14">
        <f t="shared" si="10"/>
        <v>0</v>
      </c>
      <c r="G377" s="14">
        <f t="shared" si="11"/>
        <v>0</v>
      </c>
    </row>
    <row r="378" s="1" customFormat="1" ht="18" customHeight="1" spans="1:7">
      <c r="A378" s="12">
        <v>376</v>
      </c>
      <c r="B378" s="12" t="s">
        <v>16</v>
      </c>
      <c r="C378" s="12" t="str">
        <f>"202205291316"</f>
        <v>202205291316</v>
      </c>
      <c r="D378" s="13">
        <v>0</v>
      </c>
      <c r="E378" s="14">
        <v>0</v>
      </c>
      <c r="F378" s="14">
        <f t="shared" si="10"/>
        <v>0</v>
      </c>
      <c r="G378" s="14">
        <f t="shared" si="11"/>
        <v>0</v>
      </c>
    </row>
    <row r="379" s="1" customFormat="1" ht="18" customHeight="1" spans="1:7">
      <c r="A379" s="12">
        <v>377</v>
      </c>
      <c r="B379" s="12" t="s">
        <v>16</v>
      </c>
      <c r="C379" s="12" t="str">
        <f>"202205291317"</f>
        <v>202205291317</v>
      </c>
      <c r="D379" s="13">
        <v>71.2</v>
      </c>
      <c r="E379" s="14">
        <v>55</v>
      </c>
      <c r="F379" s="14">
        <f t="shared" si="10"/>
        <v>126.2</v>
      </c>
      <c r="G379" s="14">
        <f t="shared" si="11"/>
        <v>51.2333333333333</v>
      </c>
    </row>
    <row r="380" s="1" customFormat="1" ht="18" customHeight="1" spans="1:7">
      <c r="A380" s="12">
        <v>378</v>
      </c>
      <c r="B380" s="12" t="s">
        <v>16</v>
      </c>
      <c r="C380" s="12" t="str">
        <f>"202205291318"</f>
        <v>202205291318</v>
      </c>
      <c r="D380" s="13">
        <v>60.2</v>
      </c>
      <c r="E380" s="14">
        <v>11</v>
      </c>
      <c r="F380" s="14">
        <f t="shared" si="10"/>
        <v>71.2</v>
      </c>
      <c r="G380" s="14">
        <f t="shared" si="11"/>
        <v>25.5666666666667</v>
      </c>
    </row>
    <row r="381" s="1" customFormat="1" ht="18" customHeight="1" spans="1:7">
      <c r="A381" s="12">
        <v>379</v>
      </c>
      <c r="B381" s="12" t="s">
        <v>16</v>
      </c>
      <c r="C381" s="12" t="str">
        <f>"202205291319"</f>
        <v>202205291319</v>
      </c>
      <c r="D381" s="13">
        <v>77.2</v>
      </c>
      <c r="E381" s="14">
        <v>83</v>
      </c>
      <c r="F381" s="14">
        <f t="shared" si="10"/>
        <v>160.2</v>
      </c>
      <c r="G381" s="14">
        <f t="shared" si="11"/>
        <v>67.2333333333333</v>
      </c>
    </row>
    <row r="382" s="1" customFormat="1" ht="18" customHeight="1" spans="1:7">
      <c r="A382" s="12">
        <v>380</v>
      </c>
      <c r="B382" s="12" t="s">
        <v>16</v>
      </c>
      <c r="C382" s="12" t="str">
        <f>"202205291320"</f>
        <v>202205291320</v>
      </c>
      <c r="D382" s="13">
        <v>0</v>
      </c>
      <c r="E382" s="14">
        <v>0</v>
      </c>
      <c r="F382" s="14">
        <f t="shared" si="10"/>
        <v>0</v>
      </c>
      <c r="G382" s="14">
        <f t="shared" si="11"/>
        <v>0</v>
      </c>
    </row>
    <row r="383" s="1" customFormat="1" ht="18" customHeight="1" spans="1:7">
      <c r="A383" s="12">
        <v>381</v>
      </c>
      <c r="B383" s="12" t="s">
        <v>16</v>
      </c>
      <c r="C383" s="12" t="str">
        <f>"202205291321"</f>
        <v>202205291321</v>
      </c>
      <c r="D383" s="13">
        <v>73.8</v>
      </c>
      <c r="E383" s="14">
        <v>59</v>
      </c>
      <c r="F383" s="14">
        <f t="shared" si="10"/>
        <v>132.8</v>
      </c>
      <c r="G383" s="14">
        <f t="shared" si="11"/>
        <v>54.1</v>
      </c>
    </row>
    <row r="384" s="1" customFormat="1" ht="18" customHeight="1" spans="1:7">
      <c r="A384" s="12">
        <v>382</v>
      </c>
      <c r="B384" s="12" t="s">
        <v>16</v>
      </c>
      <c r="C384" s="12" t="str">
        <f>"202205291322"</f>
        <v>202205291322</v>
      </c>
      <c r="D384" s="13">
        <v>0</v>
      </c>
      <c r="E384" s="14">
        <v>0</v>
      </c>
      <c r="F384" s="14">
        <f t="shared" si="10"/>
        <v>0</v>
      </c>
      <c r="G384" s="14">
        <f t="shared" si="11"/>
        <v>0</v>
      </c>
    </row>
    <row r="385" s="1" customFormat="1" ht="18" customHeight="1" spans="1:7">
      <c r="A385" s="12">
        <v>383</v>
      </c>
      <c r="B385" s="12" t="s">
        <v>16</v>
      </c>
      <c r="C385" s="12" t="str">
        <f>"202205291323"</f>
        <v>202205291323</v>
      </c>
      <c r="D385" s="13">
        <v>0</v>
      </c>
      <c r="E385" s="14">
        <v>0</v>
      </c>
      <c r="F385" s="14">
        <f t="shared" si="10"/>
        <v>0</v>
      </c>
      <c r="G385" s="14">
        <f t="shared" si="11"/>
        <v>0</v>
      </c>
    </row>
    <row r="386" s="1" customFormat="1" ht="18" customHeight="1" spans="1:7">
      <c r="A386" s="12">
        <v>384</v>
      </c>
      <c r="B386" s="12" t="s">
        <v>16</v>
      </c>
      <c r="C386" s="12" t="str">
        <f>"202205291324"</f>
        <v>202205291324</v>
      </c>
      <c r="D386" s="13">
        <v>0</v>
      </c>
      <c r="E386" s="14">
        <v>0</v>
      </c>
      <c r="F386" s="14">
        <f t="shared" si="10"/>
        <v>0</v>
      </c>
      <c r="G386" s="14">
        <f t="shared" si="11"/>
        <v>0</v>
      </c>
    </row>
    <row r="387" s="1" customFormat="1" ht="18" customHeight="1" spans="1:7">
      <c r="A387" s="12">
        <v>385</v>
      </c>
      <c r="B387" s="12" t="s">
        <v>16</v>
      </c>
      <c r="C387" s="12" t="str">
        <f>"202205291325"</f>
        <v>202205291325</v>
      </c>
      <c r="D387" s="13">
        <v>79.2</v>
      </c>
      <c r="E387" s="14">
        <v>56</v>
      </c>
      <c r="F387" s="14">
        <f t="shared" si="10"/>
        <v>135.2</v>
      </c>
      <c r="G387" s="14">
        <f t="shared" si="11"/>
        <v>54.4</v>
      </c>
    </row>
    <row r="388" s="1" customFormat="1" ht="18" customHeight="1" spans="1:7">
      <c r="A388" s="12">
        <v>386</v>
      </c>
      <c r="B388" s="12" t="s">
        <v>16</v>
      </c>
      <c r="C388" s="12" t="str">
        <f>"202205291326"</f>
        <v>202205291326</v>
      </c>
      <c r="D388" s="13">
        <v>59.2</v>
      </c>
      <c r="E388" s="14">
        <v>9</v>
      </c>
      <c r="F388" s="14">
        <f t="shared" ref="F388:F451" si="12">D388+E388</f>
        <v>68.2</v>
      </c>
      <c r="G388" s="14">
        <f t="shared" ref="G388:G451" si="13">D388/1.2*0.4+E388/1.2*0.6</f>
        <v>24.2333333333333</v>
      </c>
    </row>
    <row r="389" s="1" customFormat="1" ht="18" customHeight="1" spans="1:7">
      <c r="A389" s="12">
        <v>387</v>
      </c>
      <c r="B389" s="12" t="s">
        <v>16</v>
      </c>
      <c r="C389" s="12" t="str">
        <f>"202205291327"</f>
        <v>202205291327</v>
      </c>
      <c r="D389" s="13">
        <v>70.2</v>
      </c>
      <c r="E389" s="14">
        <v>52</v>
      </c>
      <c r="F389" s="14">
        <f t="shared" si="12"/>
        <v>122.2</v>
      </c>
      <c r="G389" s="14">
        <f t="shared" si="13"/>
        <v>49.4</v>
      </c>
    </row>
    <row r="390" s="1" customFormat="1" ht="18" customHeight="1" spans="1:7">
      <c r="A390" s="12">
        <v>388</v>
      </c>
      <c r="B390" s="12" t="s">
        <v>16</v>
      </c>
      <c r="C390" s="12" t="str">
        <f>"202205291328"</f>
        <v>202205291328</v>
      </c>
      <c r="D390" s="13">
        <v>61.2</v>
      </c>
      <c r="E390" s="14">
        <v>58</v>
      </c>
      <c r="F390" s="14">
        <f t="shared" si="12"/>
        <v>119.2</v>
      </c>
      <c r="G390" s="14">
        <f t="shared" si="13"/>
        <v>49.4</v>
      </c>
    </row>
    <row r="391" s="1" customFormat="1" ht="18" customHeight="1" spans="1:7">
      <c r="A391" s="12">
        <v>389</v>
      </c>
      <c r="B391" s="12" t="s">
        <v>16</v>
      </c>
      <c r="C391" s="12" t="str">
        <f>"202205291329"</f>
        <v>202205291329</v>
      </c>
      <c r="D391" s="13">
        <v>0</v>
      </c>
      <c r="E391" s="14">
        <v>0</v>
      </c>
      <c r="F391" s="14">
        <f t="shared" si="12"/>
        <v>0</v>
      </c>
      <c r="G391" s="14">
        <f t="shared" si="13"/>
        <v>0</v>
      </c>
    </row>
    <row r="392" s="1" customFormat="1" ht="18" customHeight="1" spans="1:7">
      <c r="A392" s="12">
        <v>390</v>
      </c>
      <c r="B392" s="12" t="s">
        <v>16</v>
      </c>
      <c r="C392" s="12" t="str">
        <f>"202205291330"</f>
        <v>202205291330</v>
      </c>
      <c r="D392" s="13">
        <v>0</v>
      </c>
      <c r="E392" s="14">
        <v>0</v>
      </c>
      <c r="F392" s="14">
        <f t="shared" si="12"/>
        <v>0</v>
      </c>
      <c r="G392" s="14">
        <f t="shared" si="13"/>
        <v>0</v>
      </c>
    </row>
    <row r="393" s="1" customFormat="1" ht="18" customHeight="1" spans="1:7">
      <c r="A393" s="12">
        <v>391</v>
      </c>
      <c r="B393" s="12" t="s">
        <v>16</v>
      </c>
      <c r="C393" s="12" t="str">
        <f>"202205291401"</f>
        <v>202205291401</v>
      </c>
      <c r="D393" s="13">
        <v>0</v>
      </c>
      <c r="E393" s="14">
        <v>0</v>
      </c>
      <c r="F393" s="14">
        <f t="shared" si="12"/>
        <v>0</v>
      </c>
      <c r="G393" s="14">
        <f t="shared" si="13"/>
        <v>0</v>
      </c>
    </row>
    <row r="394" ht="18" customHeight="1" spans="1:7">
      <c r="A394" s="12">
        <v>392</v>
      </c>
      <c r="B394" s="12" t="s">
        <v>16</v>
      </c>
      <c r="C394" s="12" t="str">
        <f>"202205291402"</f>
        <v>202205291402</v>
      </c>
      <c r="D394" s="14">
        <v>36.4</v>
      </c>
      <c r="E394" s="14">
        <v>2</v>
      </c>
      <c r="F394" s="14">
        <f t="shared" si="12"/>
        <v>38.4</v>
      </c>
      <c r="G394" s="14">
        <f t="shared" si="13"/>
        <v>13.1333333333333</v>
      </c>
    </row>
    <row r="395" ht="18" customHeight="1" spans="1:7">
      <c r="A395" s="12">
        <v>393</v>
      </c>
      <c r="B395" s="12" t="s">
        <v>16</v>
      </c>
      <c r="C395" s="12" t="str">
        <f>"202205291403"</f>
        <v>202205291403</v>
      </c>
      <c r="D395" s="14">
        <v>0</v>
      </c>
      <c r="E395" s="14">
        <v>0</v>
      </c>
      <c r="F395" s="14">
        <f t="shared" si="12"/>
        <v>0</v>
      </c>
      <c r="G395" s="14">
        <f t="shared" si="13"/>
        <v>0</v>
      </c>
    </row>
    <row r="396" ht="18" customHeight="1" spans="1:7">
      <c r="A396" s="12">
        <v>394</v>
      </c>
      <c r="B396" s="12" t="s">
        <v>16</v>
      </c>
      <c r="C396" s="12" t="str">
        <f>"202205291404"</f>
        <v>202205291404</v>
      </c>
      <c r="D396" s="14">
        <v>68.8</v>
      </c>
      <c r="E396" s="14">
        <v>12</v>
      </c>
      <c r="F396" s="14">
        <f t="shared" si="12"/>
        <v>80.8</v>
      </c>
      <c r="G396" s="14">
        <f t="shared" si="13"/>
        <v>28.9333333333333</v>
      </c>
    </row>
    <row r="397" ht="18" customHeight="1" spans="1:7">
      <c r="A397" s="12">
        <v>395</v>
      </c>
      <c r="B397" s="12" t="s">
        <v>16</v>
      </c>
      <c r="C397" s="12" t="str">
        <f>"202205291405"</f>
        <v>202205291405</v>
      </c>
      <c r="D397" s="14">
        <v>57.8</v>
      </c>
      <c r="E397" s="14">
        <v>16</v>
      </c>
      <c r="F397" s="14">
        <f t="shared" si="12"/>
        <v>73.8</v>
      </c>
      <c r="G397" s="14">
        <f t="shared" si="13"/>
        <v>27.2666666666667</v>
      </c>
    </row>
    <row r="398" ht="18" customHeight="1" spans="1:7">
      <c r="A398" s="12">
        <v>396</v>
      </c>
      <c r="B398" s="12" t="s">
        <v>16</v>
      </c>
      <c r="C398" s="12" t="str">
        <f>"202205291406"</f>
        <v>202205291406</v>
      </c>
      <c r="D398" s="14">
        <v>0</v>
      </c>
      <c r="E398" s="14">
        <v>0</v>
      </c>
      <c r="F398" s="14">
        <f t="shared" si="12"/>
        <v>0</v>
      </c>
      <c r="G398" s="14">
        <f t="shared" si="13"/>
        <v>0</v>
      </c>
    </row>
    <row r="399" ht="18" customHeight="1" spans="1:7">
      <c r="A399" s="12">
        <v>397</v>
      </c>
      <c r="B399" s="12" t="s">
        <v>16</v>
      </c>
      <c r="C399" s="12" t="str">
        <f>"202205291407"</f>
        <v>202205291407</v>
      </c>
      <c r="D399" s="14">
        <v>36</v>
      </c>
      <c r="E399" s="14">
        <v>9</v>
      </c>
      <c r="F399" s="14">
        <f t="shared" si="12"/>
        <v>45</v>
      </c>
      <c r="G399" s="14">
        <f t="shared" si="13"/>
        <v>16.5</v>
      </c>
    </row>
    <row r="400" ht="18" customHeight="1" spans="1:7">
      <c r="A400" s="12">
        <v>398</v>
      </c>
      <c r="B400" s="12" t="s">
        <v>16</v>
      </c>
      <c r="C400" s="12" t="str">
        <f>"202205291408"</f>
        <v>202205291408</v>
      </c>
      <c r="D400" s="14">
        <v>44.4</v>
      </c>
      <c r="E400" s="14">
        <v>8</v>
      </c>
      <c r="F400" s="14">
        <f t="shared" si="12"/>
        <v>52.4</v>
      </c>
      <c r="G400" s="14">
        <f t="shared" si="13"/>
        <v>18.8</v>
      </c>
    </row>
    <row r="401" ht="18" customHeight="1" spans="1:7">
      <c r="A401" s="12">
        <v>399</v>
      </c>
      <c r="B401" s="12" t="s">
        <v>16</v>
      </c>
      <c r="C401" s="12" t="str">
        <f>"202205291409"</f>
        <v>202205291409</v>
      </c>
      <c r="D401" s="14">
        <v>0</v>
      </c>
      <c r="E401" s="14">
        <v>0</v>
      </c>
      <c r="F401" s="14">
        <f t="shared" si="12"/>
        <v>0</v>
      </c>
      <c r="G401" s="14">
        <f t="shared" si="13"/>
        <v>0</v>
      </c>
    </row>
    <row r="402" ht="18" customHeight="1" spans="1:7">
      <c r="A402" s="12">
        <v>400</v>
      </c>
      <c r="B402" s="12" t="s">
        <v>16</v>
      </c>
      <c r="C402" s="12" t="str">
        <f>"202205291410"</f>
        <v>202205291410</v>
      </c>
      <c r="D402" s="14">
        <v>58.6</v>
      </c>
      <c r="E402" s="14">
        <v>37</v>
      </c>
      <c r="F402" s="14">
        <f t="shared" si="12"/>
        <v>95.6</v>
      </c>
      <c r="G402" s="14">
        <f t="shared" si="13"/>
        <v>38.0333333333333</v>
      </c>
    </row>
    <row r="403" ht="18" customHeight="1" spans="1:7">
      <c r="A403" s="12">
        <v>401</v>
      </c>
      <c r="B403" s="12" t="s">
        <v>16</v>
      </c>
      <c r="C403" s="12" t="str">
        <f>"202205291411"</f>
        <v>202205291411</v>
      </c>
      <c r="D403" s="14">
        <v>0</v>
      </c>
      <c r="E403" s="14">
        <v>0</v>
      </c>
      <c r="F403" s="14">
        <f t="shared" si="12"/>
        <v>0</v>
      </c>
      <c r="G403" s="14">
        <f t="shared" si="13"/>
        <v>0</v>
      </c>
    </row>
    <row r="404" ht="18" customHeight="1" spans="1:7">
      <c r="A404" s="12">
        <v>402</v>
      </c>
      <c r="B404" s="12" t="s">
        <v>16</v>
      </c>
      <c r="C404" s="12" t="str">
        <f>"202205291412"</f>
        <v>202205291412</v>
      </c>
      <c r="D404" s="14">
        <v>0</v>
      </c>
      <c r="E404" s="14">
        <v>0</v>
      </c>
      <c r="F404" s="14">
        <f t="shared" si="12"/>
        <v>0</v>
      </c>
      <c r="G404" s="14">
        <f t="shared" si="13"/>
        <v>0</v>
      </c>
    </row>
    <row r="405" ht="18" customHeight="1" spans="1:7">
      <c r="A405" s="12">
        <v>403</v>
      </c>
      <c r="B405" s="12" t="s">
        <v>16</v>
      </c>
      <c r="C405" s="12" t="str">
        <f>"202205291413"</f>
        <v>202205291413</v>
      </c>
      <c r="D405" s="14">
        <v>77.4</v>
      </c>
      <c r="E405" s="14">
        <v>46</v>
      </c>
      <c r="F405" s="14">
        <f t="shared" si="12"/>
        <v>123.4</v>
      </c>
      <c r="G405" s="14">
        <f t="shared" si="13"/>
        <v>48.8</v>
      </c>
    </row>
    <row r="406" ht="18" customHeight="1" spans="1:7">
      <c r="A406" s="12">
        <v>404</v>
      </c>
      <c r="B406" s="12" t="s">
        <v>16</v>
      </c>
      <c r="C406" s="12" t="str">
        <f>"202205291414"</f>
        <v>202205291414</v>
      </c>
      <c r="D406" s="14">
        <v>0</v>
      </c>
      <c r="E406" s="14">
        <v>0</v>
      </c>
      <c r="F406" s="14">
        <f t="shared" si="12"/>
        <v>0</v>
      </c>
      <c r="G406" s="14">
        <f t="shared" si="13"/>
        <v>0</v>
      </c>
    </row>
    <row r="407" ht="18" customHeight="1" spans="1:7">
      <c r="A407" s="12">
        <v>405</v>
      </c>
      <c r="B407" s="12" t="s">
        <v>16</v>
      </c>
      <c r="C407" s="12" t="str">
        <f>"202205291415"</f>
        <v>202205291415</v>
      </c>
      <c r="D407" s="14">
        <v>66</v>
      </c>
      <c r="E407" s="14">
        <v>25</v>
      </c>
      <c r="F407" s="14">
        <f t="shared" si="12"/>
        <v>91</v>
      </c>
      <c r="G407" s="14">
        <f t="shared" si="13"/>
        <v>34.5</v>
      </c>
    </row>
    <row r="408" ht="18" customHeight="1" spans="1:7">
      <c r="A408" s="12">
        <v>406</v>
      </c>
      <c r="B408" s="12" t="s">
        <v>16</v>
      </c>
      <c r="C408" s="12" t="str">
        <f>"202205291416"</f>
        <v>202205291416</v>
      </c>
      <c r="D408" s="14">
        <v>84</v>
      </c>
      <c r="E408" s="14">
        <v>33</v>
      </c>
      <c r="F408" s="14">
        <f t="shared" si="12"/>
        <v>117</v>
      </c>
      <c r="G408" s="14">
        <f t="shared" si="13"/>
        <v>44.5</v>
      </c>
    </row>
    <row r="409" ht="18" customHeight="1" spans="1:7">
      <c r="A409" s="12">
        <v>407</v>
      </c>
      <c r="B409" s="12" t="s">
        <v>16</v>
      </c>
      <c r="C409" s="12" t="str">
        <f>"202205291417"</f>
        <v>202205291417</v>
      </c>
      <c r="D409" s="14">
        <v>76.6</v>
      </c>
      <c r="E409" s="14">
        <v>51</v>
      </c>
      <c r="F409" s="14">
        <f t="shared" si="12"/>
        <v>127.6</v>
      </c>
      <c r="G409" s="14">
        <f t="shared" si="13"/>
        <v>51.0333333333333</v>
      </c>
    </row>
    <row r="410" ht="18" customHeight="1" spans="1:7">
      <c r="A410" s="12">
        <v>408</v>
      </c>
      <c r="B410" s="12" t="s">
        <v>16</v>
      </c>
      <c r="C410" s="12" t="str">
        <f>"202205291418"</f>
        <v>202205291418</v>
      </c>
      <c r="D410" s="14">
        <v>0</v>
      </c>
      <c r="E410" s="14">
        <v>0</v>
      </c>
      <c r="F410" s="14">
        <f t="shared" si="12"/>
        <v>0</v>
      </c>
      <c r="G410" s="14">
        <f t="shared" si="13"/>
        <v>0</v>
      </c>
    </row>
    <row r="411" ht="18" customHeight="1" spans="1:7">
      <c r="A411" s="12">
        <v>409</v>
      </c>
      <c r="B411" s="12" t="s">
        <v>16</v>
      </c>
      <c r="C411" s="12" t="str">
        <f>"202205291419"</f>
        <v>202205291419</v>
      </c>
      <c r="D411" s="14">
        <v>0</v>
      </c>
      <c r="E411" s="14">
        <v>0</v>
      </c>
      <c r="F411" s="14">
        <f t="shared" si="12"/>
        <v>0</v>
      </c>
      <c r="G411" s="14">
        <f t="shared" si="13"/>
        <v>0</v>
      </c>
    </row>
    <row r="412" ht="18" customHeight="1" spans="1:7">
      <c r="A412" s="12">
        <v>410</v>
      </c>
      <c r="B412" s="12" t="s">
        <v>16</v>
      </c>
      <c r="C412" s="12" t="str">
        <f>"202205291420"</f>
        <v>202205291420</v>
      </c>
      <c r="D412" s="14">
        <v>69</v>
      </c>
      <c r="E412" s="14">
        <v>27</v>
      </c>
      <c r="F412" s="14">
        <f t="shared" si="12"/>
        <v>96</v>
      </c>
      <c r="G412" s="14">
        <f t="shared" si="13"/>
        <v>36.5</v>
      </c>
    </row>
    <row r="413" ht="18" customHeight="1" spans="1:7">
      <c r="A413" s="12">
        <v>411</v>
      </c>
      <c r="B413" s="12" t="s">
        <v>16</v>
      </c>
      <c r="C413" s="12" t="str">
        <f>"202205291421"</f>
        <v>202205291421</v>
      </c>
      <c r="D413" s="14">
        <v>69.6</v>
      </c>
      <c r="E413" s="14">
        <v>31</v>
      </c>
      <c r="F413" s="14">
        <f t="shared" si="12"/>
        <v>100.6</v>
      </c>
      <c r="G413" s="14">
        <f t="shared" si="13"/>
        <v>38.7</v>
      </c>
    </row>
    <row r="414" ht="18" customHeight="1" spans="1:7">
      <c r="A414" s="12">
        <v>412</v>
      </c>
      <c r="B414" s="12" t="s">
        <v>16</v>
      </c>
      <c r="C414" s="12" t="str">
        <f>"202205291422"</f>
        <v>202205291422</v>
      </c>
      <c r="D414" s="14">
        <v>68.4</v>
      </c>
      <c r="E414" s="14">
        <v>54</v>
      </c>
      <c r="F414" s="14">
        <f t="shared" si="12"/>
        <v>122.4</v>
      </c>
      <c r="G414" s="14">
        <f t="shared" si="13"/>
        <v>49.8</v>
      </c>
    </row>
    <row r="415" ht="18" customHeight="1" spans="1:7">
      <c r="A415" s="12">
        <v>413</v>
      </c>
      <c r="B415" s="12" t="s">
        <v>16</v>
      </c>
      <c r="C415" s="12" t="str">
        <f>"202205291423"</f>
        <v>202205291423</v>
      </c>
      <c r="D415" s="14">
        <v>0</v>
      </c>
      <c r="E415" s="14">
        <v>0</v>
      </c>
      <c r="F415" s="14">
        <f t="shared" si="12"/>
        <v>0</v>
      </c>
      <c r="G415" s="14">
        <f t="shared" si="13"/>
        <v>0</v>
      </c>
    </row>
    <row r="416" ht="18" customHeight="1" spans="1:7">
      <c r="A416" s="12">
        <v>414</v>
      </c>
      <c r="B416" s="12" t="s">
        <v>16</v>
      </c>
      <c r="C416" s="12" t="str">
        <f>"202205291424"</f>
        <v>202205291424</v>
      </c>
      <c r="D416" s="14">
        <v>0</v>
      </c>
      <c r="E416" s="14">
        <v>0</v>
      </c>
      <c r="F416" s="14">
        <f t="shared" si="12"/>
        <v>0</v>
      </c>
      <c r="G416" s="14">
        <f t="shared" si="13"/>
        <v>0</v>
      </c>
    </row>
    <row r="417" ht="18" customHeight="1" spans="1:7">
      <c r="A417" s="12">
        <v>415</v>
      </c>
      <c r="B417" s="12" t="s">
        <v>16</v>
      </c>
      <c r="C417" s="12" t="str">
        <f>"202205291425"</f>
        <v>202205291425</v>
      </c>
      <c r="D417" s="14">
        <v>0</v>
      </c>
      <c r="E417" s="14">
        <v>0</v>
      </c>
      <c r="F417" s="14">
        <f t="shared" si="12"/>
        <v>0</v>
      </c>
      <c r="G417" s="14">
        <f t="shared" si="13"/>
        <v>0</v>
      </c>
    </row>
    <row r="418" ht="18" customHeight="1" spans="1:7">
      <c r="A418" s="12">
        <v>416</v>
      </c>
      <c r="B418" s="12" t="s">
        <v>16</v>
      </c>
      <c r="C418" s="12" t="str">
        <f>"202205291426"</f>
        <v>202205291426</v>
      </c>
      <c r="D418" s="14">
        <v>70.2</v>
      </c>
      <c r="E418" s="14">
        <v>37</v>
      </c>
      <c r="F418" s="14">
        <f t="shared" si="12"/>
        <v>107.2</v>
      </c>
      <c r="G418" s="14">
        <f t="shared" si="13"/>
        <v>41.9</v>
      </c>
    </row>
    <row r="419" ht="18" customHeight="1" spans="1:7">
      <c r="A419" s="12">
        <v>417</v>
      </c>
      <c r="B419" s="12" t="s">
        <v>16</v>
      </c>
      <c r="C419" s="12" t="str">
        <f>"202205291427"</f>
        <v>202205291427</v>
      </c>
      <c r="D419" s="14">
        <v>74.2</v>
      </c>
      <c r="E419" s="14">
        <v>35</v>
      </c>
      <c r="F419" s="14">
        <f t="shared" si="12"/>
        <v>109.2</v>
      </c>
      <c r="G419" s="14">
        <f t="shared" si="13"/>
        <v>42.2333333333333</v>
      </c>
    </row>
    <row r="420" ht="18" customHeight="1" spans="1:7">
      <c r="A420" s="12">
        <v>418</v>
      </c>
      <c r="B420" s="12" t="s">
        <v>16</v>
      </c>
      <c r="C420" s="12" t="str">
        <f>"202205291428"</f>
        <v>202205291428</v>
      </c>
      <c r="D420" s="14">
        <v>0</v>
      </c>
      <c r="E420" s="14">
        <v>0</v>
      </c>
      <c r="F420" s="14">
        <f t="shared" si="12"/>
        <v>0</v>
      </c>
      <c r="G420" s="14">
        <f t="shared" si="13"/>
        <v>0</v>
      </c>
    </row>
    <row r="421" ht="18" customHeight="1" spans="1:7">
      <c r="A421" s="12">
        <v>419</v>
      </c>
      <c r="B421" s="12" t="s">
        <v>16</v>
      </c>
      <c r="C421" s="12" t="str">
        <f>"202205291429"</f>
        <v>202205291429</v>
      </c>
      <c r="D421" s="14">
        <v>63.4</v>
      </c>
      <c r="E421" s="14">
        <v>46</v>
      </c>
      <c r="F421" s="14">
        <f t="shared" si="12"/>
        <v>109.4</v>
      </c>
      <c r="G421" s="14">
        <f t="shared" si="13"/>
        <v>44.1333333333333</v>
      </c>
    </row>
    <row r="422" ht="18" customHeight="1" spans="1:7">
      <c r="A422" s="12">
        <v>420</v>
      </c>
      <c r="B422" s="12" t="s">
        <v>16</v>
      </c>
      <c r="C422" s="12" t="str">
        <f>"202205291430"</f>
        <v>202205291430</v>
      </c>
      <c r="D422" s="14">
        <v>77</v>
      </c>
      <c r="E422" s="14">
        <v>63</v>
      </c>
      <c r="F422" s="14">
        <f t="shared" si="12"/>
        <v>140</v>
      </c>
      <c r="G422" s="14">
        <f t="shared" si="13"/>
        <v>57.1666666666667</v>
      </c>
    </row>
    <row r="423" ht="18" customHeight="1" spans="1:7">
      <c r="A423" s="12">
        <v>421</v>
      </c>
      <c r="B423" s="12" t="s">
        <v>16</v>
      </c>
      <c r="C423" s="12" t="str">
        <f>"202205291501"</f>
        <v>202205291501</v>
      </c>
      <c r="D423" s="14">
        <v>0</v>
      </c>
      <c r="E423" s="14">
        <v>0</v>
      </c>
      <c r="F423" s="14">
        <f t="shared" si="12"/>
        <v>0</v>
      </c>
      <c r="G423" s="14">
        <f t="shared" si="13"/>
        <v>0</v>
      </c>
    </row>
    <row r="424" ht="18" customHeight="1" spans="1:7">
      <c r="A424" s="12">
        <v>422</v>
      </c>
      <c r="B424" s="12" t="s">
        <v>16</v>
      </c>
      <c r="C424" s="12" t="str">
        <f>"202205291502"</f>
        <v>202205291502</v>
      </c>
      <c r="D424" s="14">
        <v>64.8</v>
      </c>
      <c r="E424" s="14">
        <v>66</v>
      </c>
      <c r="F424" s="14">
        <f t="shared" si="12"/>
        <v>130.8</v>
      </c>
      <c r="G424" s="14">
        <f t="shared" si="13"/>
        <v>54.6</v>
      </c>
    </row>
    <row r="425" ht="18" customHeight="1" spans="1:7">
      <c r="A425" s="12">
        <v>423</v>
      </c>
      <c r="B425" s="12" t="s">
        <v>16</v>
      </c>
      <c r="C425" s="12" t="str">
        <f>"202205291503"</f>
        <v>202205291503</v>
      </c>
      <c r="D425" s="14">
        <v>32.8</v>
      </c>
      <c r="E425" s="14">
        <v>3</v>
      </c>
      <c r="F425" s="14">
        <f t="shared" si="12"/>
        <v>35.8</v>
      </c>
      <c r="G425" s="14">
        <f t="shared" si="13"/>
        <v>12.4333333333333</v>
      </c>
    </row>
    <row r="426" ht="18" customHeight="1" spans="1:7">
      <c r="A426" s="12">
        <v>424</v>
      </c>
      <c r="B426" s="12" t="s">
        <v>16</v>
      </c>
      <c r="C426" s="12" t="str">
        <f>"202205291504"</f>
        <v>202205291504</v>
      </c>
      <c r="D426" s="14">
        <v>0</v>
      </c>
      <c r="E426" s="14">
        <v>0</v>
      </c>
      <c r="F426" s="14">
        <f t="shared" si="12"/>
        <v>0</v>
      </c>
      <c r="G426" s="14">
        <f t="shared" si="13"/>
        <v>0</v>
      </c>
    </row>
    <row r="427" ht="18" customHeight="1" spans="1:7">
      <c r="A427" s="12">
        <v>425</v>
      </c>
      <c r="B427" s="12" t="s">
        <v>16</v>
      </c>
      <c r="C427" s="12" t="str">
        <f>"202205291505"</f>
        <v>202205291505</v>
      </c>
      <c r="D427" s="14">
        <v>0</v>
      </c>
      <c r="E427" s="14">
        <v>0</v>
      </c>
      <c r="F427" s="14">
        <f t="shared" si="12"/>
        <v>0</v>
      </c>
      <c r="G427" s="14">
        <f t="shared" si="13"/>
        <v>0</v>
      </c>
    </row>
    <row r="428" ht="18" customHeight="1" spans="1:7">
      <c r="A428" s="12">
        <v>426</v>
      </c>
      <c r="B428" s="12" t="s">
        <v>16</v>
      </c>
      <c r="C428" s="12" t="str">
        <f>"202205291506"</f>
        <v>202205291506</v>
      </c>
      <c r="D428" s="14">
        <v>0</v>
      </c>
      <c r="E428" s="14">
        <v>0</v>
      </c>
      <c r="F428" s="14">
        <f t="shared" si="12"/>
        <v>0</v>
      </c>
      <c r="G428" s="14">
        <f t="shared" si="13"/>
        <v>0</v>
      </c>
    </row>
    <row r="429" ht="18" customHeight="1" spans="1:7">
      <c r="A429" s="12">
        <v>427</v>
      </c>
      <c r="B429" s="12" t="s">
        <v>16</v>
      </c>
      <c r="C429" s="12" t="str">
        <f>"202205291507"</f>
        <v>202205291507</v>
      </c>
      <c r="D429" s="14">
        <v>0</v>
      </c>
      <c r="E429" s="14">
        <v>0</v>
      </c>
      <c r="F429" s="14">
        <f t="shared" si="12"/>
        <v>0</v>
      </c>
      <c r="G429" s="14">
        <f t="shared" si="13"/>
        <v>0</v>
      </c>
    </row>
    <row r="430" ht="18" customHeight="1" spans="1:7">
      <c r="A430" s="12">
        <v>428</v>
      </c>
      <c r="B430" s="12" t="s">
        <v>16</v>
      </c>
      <c r="C430" s="12" t="str">
        <f>"202205291508"</f>
        <v>202205291508</v>
      </c>
      <c r="D430" s="14">
        <v>46.4</v>
      </c>
      <c r="E430" s="14">
        <v>16</v>
      </c>
      <c r="F430" s="14">
        <f t="shared" si="12"/>
        <v>62.4</v>
      </c>
      <c r="G430" s="14">
        <f t="shared" si="13"/>
        <v>23.4666666666667</v>
      </c>
    </row>
    <row r="431" ht="18" customHeight="1" spans="1:7">
      <c r="A431" s="12">
        <v>429</v>
      </c>
      <c r="B431" s="12" t="s">
        <v>16</v>
      </c>
      <c r="C431" s="12" t="str">
        <f>"202205291509"</f>
        <v>202205291509</v>
      </c>
      <c r="D431" s="14">
        <v>0</v>
      </c>
      <c r="E431" s="14">
        <v>0</v>
      </c>
      <c r="F431" s="14">
        <f t="shared" si="12"/>
        <v>0</v>
      </c>
      <c r="G431" s="14">
        <f t="shared" si="13"/>
        <v>0</v>
      </c>
    </row>
    <row r="432" ht="18" customHeight="1" spans="1:7">
      <c r="A432" s="12">
        <v>430</v>
      </c>
      <c r="B432" s="12" t="s">
        <v>16</v>
      </c>
      <c r="C432" s="12" t="str">
        <f>"202205291510"</f>
        <v>202205291510</v>
      </c>
      <c r="D432" s="14">
        <v>69.8</v>
      </c>
      <c r="E432" s="14">
        <v>66</v>
      </c>
      <c r="F432" s="14">
        <f t="shared" si="12"/>
        <v>135.8</v>
      </c>
      <c r="G432" s="14">
        <f t="shared" si="13"/>
        <v>56.2666666666667</v>
      </c>
    </row>
    <row r="433" ht="18" customHeight="1" spans="1:7">
      <c r="A433" s="12">
        <v>431</v>
      </c>
      <c r="B433" s="12" t="s">
        <v>16</v>
      </c>
      <c r="C433" s="12" t="str">
        <f>"202205291511"</f>
        <v>202205291511</v>
      </c>
      <c r="D433" s="14">
        <v>75.2</v>
      </c>
      <c r="E433" s="14">
        <v>59</v>
      </c>
      <c r="F433" s="14">
        <f t="shared" si="12"/>
        <v>134.2</v>
      </c>
      <c r="G433" s="14">
        <f t="shared" si="13"/>
        <v>54.5666666666667</v>
      </c>
    </row>
    <row r="434" ht="18" customHeight="1" spans="1:7">
      <c r="A434" s="12">
        <v>432</v>
      </c>
      <c r="B434" s="12" t="s">
        <v>16</v>
      </c>
      <c r="C434" s="12" t="str">
        <f>"202205291512"</f>
        <v>202205291512</v>
      </c>
      <c r="D434" s="14">
        <v>75.8</v>
      </c>
      <c r="E434" s="14">
        <v>53</v>
      </c>
      <c r="F434" s="14">
        <f t="shared" si="12"/>
        <v>128.8</v>
      </c>
      <c r="G434" s="14">
        <f t="shared" si="13"/>
        <v>51.7666666666667</v>
      </c>
    </row>
    <row r="435" ht="18" customHeight="1" spans="1:7">
      <c r="A435" s="12">
        <v>433</v>
      </c>
      <c r="B435" s="12" t="s">
        <v>16</v>
      </c>
      <c r="C435" s="12" t="str">
        <f>"202205291513"</f>
        <v>202205291513</v>
      </c>
      <c r="D435" s="14">
        <v>71.8</v>
      </c>
      <c r="E435" s="14">
        <v>72</v>
      </c>
      <c r="F435" s="14">
        <f t="shared" si="12"/>
        <v>143.8</v>
      </c>
      <c r="G435" s="14">
        <f t="shared" si="13"/>
        <v>59.9333333333333</v>
      </c>
    </row>
    <row r="436" ht="18" customHeight="1" spans="1:7">
      <c r="A436" s="12">
        <v>434</v>
      </c>
      <c r="B436" s="12" t="s">
        <v>16</v>
      </c>
      <c r="C436" s="12" t="str">
        <f>"202205291514"</f>
        <v>202205291514</v>
      </c>
      <c r="D436" s="14">
        <v>83.8</v>
      </c>
      <c r="E436" s="14">
        <v>51</v>
      </c>
      <c r="F436" s="14">
        <f t="shared" si="12"/>
        <v>134.8</v>
      </c>
      <c r="G436" s="14">
        <f t="shared" si="13"/>
        <v>53.4333333333333</v>
      </c>
    </row>
    <row r="437" ht="18" customHeight="1" spans="1:7">
      <c r="A437" s="12">
        <v>435</v>
      </c>
      <c r="B437" s="12" t="s">
        <v>16</v>
      </c>
      <c r="C437" s="12" t="str">
        <f>"202205291515"</f>
        <v>202205291515</v>
      </c>
      <c r="D437" s="14">
        <v>67</v>
      </c>
      <c r="E437" s="14">
        <v>32</v>
      </c>
      <c r="F437" s="14">
        <f t="shared" si="12"/>
        <v>99</v>
      </c>
      <c r="G437" s="14">
        <f t="shared" si="13"/>
        <v>38.3333333333333</v>
      </c>
    </row>
    <row r="438" ht="18" customHeight="1" spans="1:7">
      <c r="A438" s="12">
        <v>436</v>
      </c>
      <c r="B438" s="12" t="s">
        <v>16</v>
      </c>
      <c r="C438" s="12" t="str">
        <f>"202205291516"</f>
        <v>202205291516</v>
      </c>
      <c r="D438" s="14">
        <v>73.6</v>
      </c>
      <c r="E438" s="14">
        <v>69</v>
      </c>
      <c r="F438" s="14">
        <f t="shared" si="12"/>
        <v>142.6</v>
      </c>
      <c r="G438" s="14">
        <f t="shared" si="13"/>
        <v>59.0333333333333</v>
      </c>
    </row>
    <row r="439" ht="18" customHeight="1" spans="1:7">
      <c r="A439" s="12">
        <v>437</v>
      </c>
      <c r="B439" s="12" t="s">
        <v>16</v>
      </c>
      <c r="C439" s="12" t="str">
        <f>"202205291517"</f>
        <v>202205291517</v>
      </c>
      <c r="D439" s="14">
        <v>0</v>
      </c>
      <c r="E439" s="14">
        <v>0</v>
      </c>
      <c r="F439" s="14">
        <f t="shared" si="12"/>
        <v>0</v>
      </c>
      <c r="G439" s="14">
        <f t="shared" si="13"/>
        <v>0</v>
      </c>
    </row>
    <row r="440" ht="18" customHeight="1" spans="1:7">
      <c r="A440" s="12">
        <v>438</v>
      </c>
      <c r="B440" s="12" t="s">
        <v>16</v>
      </c>
      <c r="C440" s="12" t="str">
        <f>"202205291518"</f>
        <v>202205291518</v>
      </c>
      <c r="D440" s="14">
        <v>79</v>
      </c>
      <c r="E440" s="14">
        <v>72</v>
      </c>
      <c r="F440" s="14">
        <f t="shared" si="12"/>
        <v>151</v>
      </c>
      <c r="G440" s="14">
        <f t="shared" si="13"/>
        <v>62.3333333333333</v>
      </c>
    </row>
    <row r="441" ht="18" customHeight="1" spans="1:7">
      <c r="A441" s="12">
        <v>439</v>
      </c>
      <c r="B441" s="12" t="s">
        <v>16</v>
      </c>
      <c r="C441" s="12" t="str">
        <f>"202205291519"</f>
        <v>202205291519</v>
      </c>
      <c r="D441" s="14">
        <v>74</v>
      </c>
      <c r="E441" s="14">
        <v>65</v>
      </c>
      <c r="F441" s="14">
        <f t="shared" si="12"/>
        <v>139</v>
      </c>
      <c r="G441" s="14">
        <f t="shared" si="13"/>
        <v>57.1666666666667</v>
      </c>
    </row>
    <row r="442" ht="18" customHeight="1" spans="1:7">
      <c r="A442" s="12">
        <v>440</v>
      </c>
      <c r="B442" s="12" t="s">
        <v>16</v>
      </c>
      <c r="C442" s="12" t="str">
        <f>"202205291520"</f>
        <v>202205291520</v>
      </c>
      <c r="D442" s="14">
        <v>66</v>
      </c>
      <c r="E442" s="14">
        <v>70</v>
      </c>
      <c r="F442" s="14">
        <f t="shared" si="12"/>
        <v>136</v>
      </c>
      <c r="G442" s="14">
        <f t="shared" si="13"/>
        <v>57</v>
      </c>
    </row>
    <row r="443" ht="18" customHeight="1" spans="1:7">
      <c r="A443" s="12">
        <v>441</v>
      </c>
      <c r="B443" s="12" t="s">
        <v>16</v>
      </c>
      <c r="C443" s="12" t="str">
        <f>"202205291521"</f>
        <v>202205291521</v>
      </c>
      <c r="D443" s="14">
        <v>90</v>
      </c>
      <c r="E443" s="14">
        <v>38</v>
      </c>
      <c r="F443" s="14">
        <f t="shared" si="12"/>
        <v>128</v>
      </c>
      <c r="G443" s="14">
        <f t="shared" si="13"/>
        <v>49</v>
      </c>
    </row>
    <row r="444" ht="18" customHeight="1" spans="1:7">
      <c r="A444" s="12">
        <v>442</v>
      </c>
      <c r="B444" s="12" t="s">
        <v>16</v>
      </c>
      <c r="C444" s="12" t="str">
        <f>"202205291522"</f>
        <v>202205291522</v>
      </c>
      <c r="D444" s="14">
        <v>0</v>
      </c>
      <c r="E444" s="14">
        <v>0</v>
      </c>
      <c r="F444" s="14">
        <f t="shared" si="12"/>
        <v>0</v>
      </c>
      <c r="G444" s="14">
        <f t="shared" si="13"/>
        <v>0</v>
      </c>
    </row>
    <row r="445" ht="18" customHeight="1" spans="1:7">
      <c r="A445" s="12">
        <v>443</v>
      </c>
      <c r="B445" s="12" t="s">
        <v>16</v>
      </c>
      <c r="C445" s="12" t="str">
        <f>"202205291523"</f>
        <v>202205291523</v>
      </c>
      <c r="D445" s="14">
        <v>80.2</v>
      </c>
      <c r="E445" s="14">
        <v>76</v>
      </c>
      <c r="F445" s="14">
        <f t="shared" si="12"/>
        <v>156.2</v>
      </c>
      <c r="G445" s="14">
        <f t="shared" si="13"/>
        <v>64.7333333333333</v>
      </c>
    </row>
    <row r="446" ht="18" customHeight="1" spans="1:7">
      <c r="A446" s="12">
        <v>444</v>
      </c>
      <c r="B446" s="12" t="s">
        <v>16</v>
      </c>
      <c r="C446" s="12" t="str">
        <f>"202205291524"</f>
        <v>202205291524</v>
      </c>
      <c r="D446" s="14">
        <v>75.4</v>
      </c>
      <c r="E446" s="14">
        <v>70</v>
      </c>
      <c r="F446" s="14">
        <f t="shared" si="12"/>
        <v>145.4</v>
      </c>
      <c r="G446" s="14">
        <f t="shared" si="13"/>
        <v>60.1333333333333</v>
      </c>
    </row>
    <row r="447" ht="18" customHeight="1" spans="1:7">
      <c r="A447" s="12">
        <v>445</v>
      </c>
      <c r="B447" s="12" t="s">
        <v>16</v>
      </c>
      <c r="C447" s="12" t="str">
        <f>"202205291525"</f>
        <v>202205291525</v>
      </c>
      <c r="D447" s="14">
        <v>75.8</v>
      </c>
      <c r="E447" s="14">
        <v>41</v>
      </c>
      <c r="F447" s="14">
        <f t="shared" si="12"/>
        <v>116.8</v>
      </c>
      <c r="G447" s="14">
        <f t="shared" si="13"/>
        <v>45.7666666666667</v>
      </c>
    </row>
    <row r="448" ht="18" customHeight="1" spans="1:7">
      <c r="A448" s="12">
        <v>446</v>
      </c>
      <c r="B448" s="12" t="s">
        <v>16</v>
      </c>
      <c r="C448" s="12" t="str">
        <f>"202205291526"</f>
        <v>202205291526</v>
      </c>
      <c r="D448" s="14">
        <v>0</v>
      </c>
      <c r="E448" s="14">
        <v>0</v>
      </c>
      <c r="F448" s="14">
        <f t="shared" si="12"/>
        <v>0</v>
      </c>
      <c r="G448" s="14">
        <f t="shared" si="13"/>
        <v>0</v>
      </c>
    </row>
    <row r="449" ht="18" customHeight="1" spans="1:7">
      <c r="A449" s="12">
        <v>447</v>
      </c>
      <c r="B449" s="12" t="s">
        <v>16</v>
      </c>
      <c r="C449" s="12" t="str">
        <f>"202205291527"</f>
        <v>202205291527</v>
      </c>
      <c r="D449" s="14">
        <v>80.4</v>
      </c>
      <c r="E449" s="14">
        <v>35</v>
      </c>
      <c r="F449" s="14">
        <f t="shared" si="12"/>
        <v>115.4</v>
      </c>
      <c r="G449" s="14">
        <f t="shared" si="13"/>
        <v>44.3</v>
      </c>
    </row>
    <row r="450" ht="18" customHeight="1" spans="1:7">
      <c r="A450" s="12">
        <v>448</v>
      </c>
      <c r="B450" s="12" t="s">
        <v>16</v>
      </c>
      <c r="C450" s="12" t="str">
        <f>"202205291528"</f>
        <v>202205291528</v>
      </c>
      <c r="D450" s="14">
        <v>0</v>
      </c>
      <c r="E450" s="14">
        <v>0</v>
      </c>
      <c r="F450" s="14">
        <f t="shared" si="12"/>
        <v>0</v>
      </c>
      <c r="G450" s="14">
        <f t="shared" si="13"/>
        <v>0</v>
      </c>
    </row>
    <row r="451" ht="18" customHeight="1" spans="1:7">
      <c r="A451" s="12">
        <v>449</v>
      </c>
      <c r="B451" s="12" t="s">
        <v>16</v>
      </c>
      <c r="C451" s="12" t="str">
        <f>"202205291529"</f>
        <v>202205291529</v>
      </c>
      <c r="D451" s="14">
        <v>0</v>
      </c>
      <c r="E451" s="14">
        <v>0</v>
      </c>
      <c r="F451" s="14">
        <f t="shared" si="12"/>
        <v>0</v>
      </c>
      <c r="G451" s="14">
        <f t="shared" si="13"/>
        <v>0</v>
      </c>
    </row>
    <row r="452" ht="18" customHeight="1" spans="1:7">
      <c r="A452" s="12">
        <v>450</v>
      </c>
      <c r="B452" s="12" t="s">
        <v>16</v>
      </c>
      <c r="C452" s="12" t="str">
        <f>"202205291530"</f>
        <v>202205291530</v>
      </c>
      <c r="D452" s="14">
        <v>84</v>
      </c>
      <c r="E452" s="14">
        <v>97</v>
      </c>
      <c r="F452" s="14">
        <f t="shared" ref="F452:F515" si="14">D452+E452</f>
        <v>181</v>
      </c>
      <c r="G452" s="14">
        <f t="shared" ref="G452:G515" si="15">D452/1.2*0.4+E452/1.2*0.6</f>
        <v>76.5</v>
      </c>
    </row>
    <row r="453" ht="18" customHeight="1" spans="1:7">
      <c r="A453" s="12">
        <v>451</v>
      </c>
      <c r="B453" s="12" t="s">
        <v>16</v>
      </c>
      <c r="C453" s="12" t="str">
        <f>"202205291601"</f>
        <v>202205291601</v>
      </c>
      <c r="D453" s="14">
        <v>74.4</v>
      </c>
      <c r="E453" s="14">
        <v>61</v>
      </c>
      <c r="F453" s="14">
        <f t="shared" si="14"/>
        <v>135.4</v>
      </c>
      <c r="G453" s="14">
        <f t="shared" si="15"/>
        <v>55.3</v>
      </c>
    </row>
    <row r="454" ht="18" customHeight="1" spans="1:7">
      <c r="A454" s="12">
        <v>452</v>
      </c>
      <c r="B454" s="12" t="s">
        <v>16</v>
      </c>
      <c r="C454" s="12" t="str">
        <f>"202205291602"</f>
        <v>202205291602</v>
      </c>
      <c r="D454" s="14">
        <v>71.2</v>
      </c>
      <c r="E454" s="14">
        <v>89</v>
      </c>
      <c r="F454" s="14">
        <f t="shared" si="14"/>
        <v>160.2</v>
      </c>
      <c r="G454" s="14">
        <f t="shared" si="15"/>
        <v>68.2333333333333</v>
      </c>
    </row>
    <row r="455" ht="18" customHeight="1" spans="1:7">
      <c r="A455" s="12">
        <v>453</v>
      </c>
      <c r="B455" s="12" t="s">
        <v>16</v>
      </c>
      <c r="C455" s="12" t="str">
        <f>"202205291603"</f>
        <v>202205291603</v>
      </c>
      <c r="D455" s="14">
        <v>0</v>
      </c>
      <c r="E455" s="14">
        <v>0</v>
      </c>
      <c r="F455" s="14">
        <f t="shared" si="14"/>
        <v>0</v>
      </c>
      <c r="G455" s="14">
        <f t="shared" si="15"/>
        <v>0</v>
      </c>
    </row>
    <row r="456" ht="18" customHeight="1" spans="1:7">
      <c r="A456" s="12">
        <v>454</v>
      </c>
      <c r="B456" s="12" t="s">
        <v>16</v>
      </c>
      <c r="C456" s="12" t="str">
        <f>"202205291604"</f>
        <v>202205291604</v>
      </c>
      <c r="D456" s="14">
        <v>70</v>
      </c>
      <c r="E456" s="14">
        <v>75</v>
      </c>
      <c r="F456" s="14">
        <f t="shared" si="14"/>
        <v>145</v>
      </c>
      <c r="G456" s="14">
        <f t="shared" si="15"/>
        <v>60.8333333333333</v>
      </c>
    </row>
    <row r="457" ht="18" customHeight="1" spans="1:7">
      <c r="A457" s="12">
        <v>455</v>
      </c>
      <c r="B457" s="12" t="s">
        <v>16</v>
      </c>
      <c r="C457" s="12" t="str">
        <f>"202205291605"</f>
        <v>202205291605</v>
      </c>
      <c r="D457" s="14">
        <v>75</v>
      </c>
      <c r="E457" s="14">
        <v>54</v>
      </c>
      <c r="F457" s="14">
        <f t="shared" si="14"/>
        <v>129</v>
      </c>
      <c r="G457" s="14">
        <f t="shared" si="15"/>
        <v>52</v>
      </c>
    </row>
    <row r="458" ht="18" customHeight="1" spans="1:7">
      <c r="A458" s="12">
        <v>456</v>
      </c>
      <c r="B458" s="12" t="s">
        <v>16</v>
      </c>
      <c r="C458" s="12" t="str">
        <f>"202205291606"</f>
        <v>202205291606</v>
      </c>
      <c r="D458" s="14">
        <v>66.6</v>
      </c>
      <c r="E458" s="14">
        <v>56</v>
      </c>
      <c r="F458" s="14">
        <f t="shared" si="14"/>
        <v>122.6</v>
      </c>
      <c r="G458" s="14">
        <f t="shared" si="15"/>
        <v>50.2</v>
      </c>
    </row>
    <row r="459" ht="18" customHeight="1" spans="1:7">
      <c r="A459" s="12">
        <v>457</v>
      </c>
      <c r="B459" s="12" t="s">
        <v>16</v>
      </c>
      <c r="C459" s="12" t="str">
        <f>"202205291607"</f>
        <v>202205291607</v>
      </c>
      <c r="D459" s="14">
        <v>0</v>
      </c>
      <c r="E459" s="14">
        <v>0</v>
      </c>
      <c r="F459" s="14">
        <f t="shared" si="14"/>
        <v>0</v>
      </c>
      <c r="G459" s="14">
        <f t="shared" si="15"/>
        <v>0</v>
      </c>
    </row>
    <row r="460" ht="18" customHeight="1" spans="1:7">
      <c r="A460" s="12">
        <v>458</v>
      </c>
      <c r="B460" s="12" t="s">
        <v>16</v>
      </c>
      <c r="C460" s="12" t="str">
        <f>"202205291608"</f>
        <v>202205291608</v>
      </c>
      <c r="D460" s="14">
        <v>75.6</v>
      </c>
      <c r="E460" s="14">
        <v>59</v>
      </c>
      <c r="F460" s="14">
        <f t="shared" si="14"/>
        <v>134.6</v>
      </c>
      <c r="G460" s="14">
        <f t="shared" si="15"/>
        <v>54.7</v>
      </c>
    </row>
    <row r="461" ht="18" customHeight="1" spans="1:7">
      <c r="A461" s="12">
        <v>459</v>
      </c>
      <c r="B461" s="12" t="s">
        <v>16</v>
      </c>
      <c r="C461" s="12" t="str">
        <f>"202205291609"</f>
        <v>202205291609</v>
      </c>
      <c r="D461" s="14">
        <v>83.6</v>
      </c>
      <c r="E461" s="14">
        <v>80</v>
      </c>
      <c r="F461" s="14">
        <f t="shared" si="14"/>
        <v>163.6</v>
      </c>
      <c r="G461" s="14">
        <f t="shared" si="15"/>
        <v>67.8666666666667</v>
      </c>
    </row>
    <row r="462" ht="18" customHeight="1" spans="1:7">
      <c r="A462" s="12">
        <v>460</v>
      </c>
      <c r="B462" s="12" t="s">
        <v>17</v>
      </c>
      <c r="C462" s="12" t="str">
        <f>"202205291610"</f>
        <v>202205291610</v>
      </c>
      <c r="D462" s="14">
        <v>0</v>
      </c>
      <c r="E462" s="14">
        <v>0</v>
      </c>
      <c r="F462" s="14">
        <f t="shared" si="14"/>
        <v>0</v>
      </c>
      <c r="G462" s="14">
        <f t="shared" si="15"/>
        <v>0</v>
      </c>
    </row>
    <row r="463" ht="18" customHeight="1" spans="1:7">
      <c r="A463" s="12">
        <v>461</v>
      </c>
      <c r="B463" s="12" t="s">
        <v>17</v>
      </c>
      <c r="C463" s="12" t="str">
        <f>"202205291611"</f>
        <v>202205291611</v>
      </c>
      <c r="D463" s="14">
        <v>0</v>
      </c>
      <c r="E463" s="14">
        <v>0</v>
      </c>
      <c r="F463" s="14">
        <f t="shared" si="14"/>
        <v>0</v>
      </c>
      <c r="G463" s="14">
        <f t="shared" si="15"/>
        <v>0</v>
      </c>
    </row>
    <row r="464" ht="18" customHeight="1" spans="1:7">
      <c r="A464" s="12">
        <v>462</v>
      </c>
      <c r="B464" s="12" t="s">
        <v>17</v>
      </c>
      <c r="C464" s="12" t="str">
        <f>"202205291612"</f>
        <v>202205291612</v>
      </c>
      <c r="D464" s="14">
        <v>71.6</v>
      </c>
      <c r="E464" s="14">
        <v>69</v>
      </c>
      <c r="F464" s="14">
        <f t="shared" si="14"/>
        <v>140.6</v>
      </c>
      <c r="G464" s="14">
        <f t="shared" si="15"/>
        <v>58.3666666666667</v>
      </c>
    </row>
    <row r="465" ht="18" customHeight="1" spans="1:7">
      <c r="A465" s="12">
        <v>463</v>
      </c>
      <c r="B465" s="12" t="s">
        <v>17</v>
      </c>
      <c r="C465" s="12" t="str">
        <f>"202205291613"</f>
        <v>202205291613</v>
      </c>
      <c r="D465" s="14">
        <v>57.2</v>
      </c>
      <c r="E465" s="14">
        <v>62</v>
      </c>
      <c r="F465" s="14">
        <f t="shared" si="14"/>
        <v>119.2</v>
      </c>
      <c r="G465" s="14">
        <f t="shared" si="15"/>
        <v>50.0666666666667</v>
      </c>
    </row>
    <row r="466" ht="18" customHeight="1" spans="1:7">
      <c r="A466" s="12">
        <v>464</v>
      </c>
      <c r="B466" s="12" t="s">
        <v>17</v>
      </c>
      <c r="C466" s="12" t="str">
        <f>"202205291614"</f>
        <v>202205291614</v>
      </c>
      <c r="D466" s="14">
        <v>90.8</v>
      </c>
      <c r="E466" s="14">
        <v>85</v>
      </c>
      <c r="F466" s="14">
        <f t="shared" si="14"/>
        <v>175.8</v>
      </c>
      <c r="G466" s="14">
        <f t="shared" si="15"/>
        <v>72.7666666666667</v>
      </c>
    </row>
    <row r="467" ht="18" customHeight="1" spans="1:7">
      <c r="A467" s="12">
        <v>465</v>
      </c>
      <c r="B467" s="12" t="s">
        <v>17</v>
      </c>
      <c r="C467" s="12" t="str">
        <f>"202205291615"</f>
        <v>202205291615</v>
      </c>
      <c r="D467" s="14">
        <v>77</v>
      </c>
      <c r="E467" s="14">
        <v>67</v>
      </c>
      <c r="F467" s="14">
        <f t="shared" si="14"/>
        <v>144</v>
      </c>
      <c r="G467" s="14">
        <f t="shared" si="15"/>
        <v>59.1666666666667</v>
      </c>
    </row>
    <row r="468" ht="18" customHeight="1" spans="1:7">
      <c r="A468" s="12">
        <v>466</v>
      </c>
      <c r="B468" s="12" t="s">
        <v>17</v>
      </c>
      <c r="C468" s="12" t="str">
        <f>"202205291616"</f>
        <v>202205291616</v>
      </c>
      <c r="D468" s="14">
        <v>0</v>
      </c>
      <c r="E468" s="14">
        <v>0</v>
      </c>
      <c r="F468" s="14">
        <f t="shared" si="14"/>
        <v>0</v>
      </c>
      <c r="G468" s="14">
        <f t="shared" si="15"/>
        <v>0</v>
      </c>
    </row>
    <row r="469" ht="18" customHeight="1" spans="1:7">
      <c r="A469" s="12">
        <v>467</v>
      </c>
      <c r="B469" s="12" t="s">
        <v>17</v>
      </c>
      <c r="C469" s="12" t="str">
        <f>"202205291617"</f>
        <v>202205291617</v>
      </c>
      <c r="D469" s="14">
        <v>0</v>
      </c>
      <c r="E469" s="14">
        <v>0</v>
      </c>
      <c r="F469" s="14">
        <f t="shared" si="14"/>
        <v>0</v>
      </c>
      <c r="G469" s="14">
        <f t="shared" si="15"/>
        <v>0</v>
      </c>
    </row>
    <row r="470" ht="18" customHeight="1" spans="1:7">
      <c r="A470" s="12">
        <v>468</v>
      </c>
      <c r="B470" s="12" t="s">
        <v>17</v>
      </c>
      <c r="C470" s="12" t="str">
        <f>"202205291618"</f>
        <v>202205291618</v>
      </c>
      <c r="D470" s="14">
        <v>81.4</v>
      </c>
      <c r="E470" s="14">
        <v>55</v>
      </c>
      <c r="F470" s="14">
        <f t="shared" si="14"/>
        <v>136.4</v>
      </c>
      <c r="G470" s="14">
        <f t="shared" si="15"/>
        <v>54.6333333333333</v>
      </c>
    </row>
    <row r="471" ht="18" customHeight="1" spans="1:7">
      <c r="A471" s="12">
        <v>469</v>
      </c>
      <c r="B471" s="12" t="s">
        <v>17</v>
      </c>
      <c r="C471" s="12" t="str">
        <f>"202205291619"</f>
        <v>202205291619</v>
      </c>
      <c r="D471" s="14">
        <v>87.2</v>
      </c>
      <c r="E471" s="14">
        <v>38</v>
      </c>
      <c r="F471" s="14">
        <f t="shared" si="14"/>
        <v>125.2</v>
      </c>
      <c r="G471" s="14">
        <f t="shared" si="15"/>
        <v>48.0666666666667</v>
      </c>
    </row>
    <row r="472" ht="18" customHeight="1" spans="1:7">
      <c r="A472" s="12">
        <v>470</v>
      </c>
      <c r="B472" s="12" t="s">
        <v>17</v>
      </c>
      <c r="C472" s="12" t="str">
        <f>"202205291620"</f>
        <v>202205291620</v>
      </c>
      <c r="D472" s="14">
        <v>28</v>
      </c>
      <c r="E472" s="14">
        <v>11</v>
      </c>
      <c r="F472" s="14">
        <f t="shared" si="14"/>
        <v>39</v>
      </c>
      <c r="G472" s="14">
        <f t="shared" si="15"/>
        <v>14.8333333333333</v>
      </c>
    </row>
    <row r="473" ht="18" customHeight="1" spans="1:7">
      <c r="A473" s="12">
        <v>471</v>
      </c>
      <c r="B473" s="12" t="s">
        <v>17</v>
      </c>
      <c r="C473" s="12" t="str">
        <f>"202205291621"</f>
        <v>202205291621</v>
      </c>
      <c r="D473" s="14">
        <v>73.8</v>
      </c>
      <c r="E473" s="14">
        <v>42</v>
      </c>
      <c r="F473" s="14">
        <f t="shared" si="14"/>
        <v>115.8</v>
      </c>
      <c r="G473" s="14">
        <f t="shared" si="15"/>
        <v>45.6</v>
      </c>
    </row>
    <row r="474" ht="18" customHeight="1" spans="1:7">
      <c r="A474" s="12">
        <v>472</v>
      </c>
      <c r="B474" s="12" t="s">
        <v>17</v>
      </c>
      <c r="C474" s="12" t="str">
        <f>"202205291622"</f>
        <v>202205291622</v>
      </c>
      <c r="D474" s="14">
        <v>90</v>
      </c>
      <c r="E474" s="14">
        <v>77</v>
      </c>
      <c r="F474" s="14">
        <f t="shared" si="14"/>
        <v>167</v>
      </c>
      <c r="G474" s="14">
        <f t="shared" si="15"/>
        <v>68.5</v>
      </c>
    </row>
    <row r="475" ht="18" customHeight="1" spans="1:7">
      <c r="A475" s="12">
        <v>473</v>
      </c>
      <c r="B475" s="12" t="s">
        <v>17</v>
      </c>
      <c r="C475" s="12" t="str">
        <f>"202205291623"</f>
        <v>202205291623</v>
      </c>
      <c r="D475" s="14">
        <v>0</v>
      </c>
      <c r="E475" s="14">
        <v>0</v>
      </c>
      <c r="F475" s="14">
        <f t="shared" si="14"/>
        <v>0</v>
      </c>
      <c r="G475" s="14">
        <f t="shared" si="15"/>
        <v>0</v>
      </c>
    </row>
    <row r="476" ht="18" customHeight="1" spans="1:7">
      <c r="A476" s="12">
        <v>474</v>
      </c>
      <c r="B476" s="12" t="s">
        <v>17</v>
      </c>
      <c r="C476" s="12" t="str">
        <f>"202205291624"</f>
        <v>202205291624</v>
      </c>
      <c r="D476" s="14">
        <v>74.6</v>
      </c>
      <c r="E476" s="14">
        <v>22</v>
      </c>
      <c r="F476" s="14">
        <f t="shared" si="14"/>
        <v>96.6</v>
      </c>
      <c r="G476" s="14">
        <f t="shared" si="15"/>
        <v>35.8666666666667</v>
      </c>
    </row>
    <row r="477" ht="18" customHeight="1" spans="1:7">
      <c r="A477" s="12">
        <v>475</v>
      </c>
      <c r="B477" s="12" t="s">
        <v>17</v>
      </c>
      <c r="C477" s="12" t="str">
        <f>"202205291625"</f>
        <v>202205291625</v>
      </c>
      <c r="D477" s="14">
        <v>71.6</v>
      </c>
      <c r="E477" s="14">
        <v>55</v>
      </c>
      <c r="F477" s="14">
        <f t="shared" si="14"/>
        <v>126.6</v>
      </c>
      <c r="G477" s="14">
        <f t="shared" si="15"/>
        <v>51.3666666666667</v>
      </c>
    </row>
    <row r="478" ht="18" customHeight="1" spans="1:7">
      <c r="A478" s="12">
        <v>476</v>
      </c>
      <c r="B478" s="12" t="s">
        <v>17</v>
      </c>
      <c r="C478" s="12" t="str">
        <f>"202205291626"</f>
        <v>202205291626</v>
      </c>
      <c r="D478" s="14">
        <v>81.4</v>
      </c>
      <c r="E478" s="14">
        <v>75</v>
      </c>
      <c r="F478" s="14">
        <f t="shared" si="14"/>
        <v>156.4</v>
      </c>
      <c r="G478" s="14">
        <f t="shared" si="15"/>
        <v>64.6333333333333</v>
      </c>
    </row>
    <row r="479" ht="18" customHeight="1" spans="1:7">
      <c r="A479" s="12">
        <v>477</v>
      </c>
      <c r="B479" s="12" t="s">
        <v>17</v>
      </c>
      <c r="C479" s="12" t="str">
        <f>"202205291627"</f>
        <v>202205291627</v>
      </c>
      <c r="D479" s="14">
        <v>0</v>
      </c>
      <c r="E479" s="14">
        <v>0</v>
      </c>
      <c r="F479" s="14">
        <f t="shared" si="14"/>
        <v>0</v>
      </c>
      <c r="G479" s="14">
        <f t="shared" si="15"/>
        <v>0</v>
      </c>
    </row>
    <row r="480" ht="18" customHeight="1" spans="1:7">
      <c r="A480" s="12">
        <v>478</v>
      </c>
      <c r="B480" s="12" t="s">
        <v>18</v>
      </c>
      <c r="C480" s="12" t="str">
        <f>"202205291628"</f>
        <v>202205291628</v>
      </c>
      <c r="D480" s="14">
        <v>65.4</v>
      </c>
      <c r="E480" s="14">
        <v>60</v>
      </c>
      <c r="F480" s="14">
        <f t="shared" si="14"/>
        <v>125.4</v>
      </c>
      <c r="G480" s="14">
        <f t="shared" si="15"/>
        <v>51.8</v>
      </c>
    </row>
    <row r="481" ht="18" customHeight="1" spans="1:7">
      <c r="A481" s="12">
        <v>479</v>
      </c>
      <c r="B481" s="12" t="s">
        <v>18</v>
      </c>
      <c r="C481" s="12" t="str">
        <f>"202205291629"</f>
        <v>202205291629</v>
      </c>
      <c r="D481" s="14">
        <v>0</v>
      </c>
      <c r="E481" s="14">
        <v>0</v>
      </c>
      <c r="F481" s="14">
        <f t="shared" si="14"/>
        <v>0</v>
      </c>
      <c r="G481" s="14">
        <f t="shared" si="15"/>
        <v>0</v>
      </c>
    </row>
    <row r="482" ht="18" customHeight="1" spans="1:7">
      <c r="A482" s="12">
        <v>480</v>
      </c>
      <c r="B482" s="12" t="s">
        <v>18</v>
      </c>
      <c r="C482" s="12" t="str">
        <f>"202205291630"</f>
        <v>202205291630</v>
      </c>
      <c r="D482" s="14">
        <v>74</v>
      </c>
      <c r="E482" s="14">
        <v>29</v>
      </c>
      <c r="F482" s="14">
        <f t="shared" si="14"/>
        <v>103</v>
      </c>
      <c r="G482" s="14">
        <f t="shared" si="15"/>
        <v>39.1666666666667</v>
      </c>
    </row>
    <row r="483" ht="18" customHeight="1" spans="1:7">
      <c r="A483" s="12">
        <v>481</v>
      </c>
      <c r="B483" s="12" t="s">
        <v>18</v>
      </c>
      <c r="C483" s="12" t="str">
        <f>"202205291701"</f>
        <v>202205291701</v>
      </c>
      <c r="D483" s="14">
        <v>75.2</v>
      </c>
      <c r="E483" s="14">
        <v>39</v>
      </c>
      <c r="F483" s="14">
        <f t="shared" si="14"/>
        <v>114.2</v>
      </c>
      <c r="G483" s="14">
        <f t="shared" si="15"/>
        <v>44.5666666666667</v>
      </c>
    </row>
    <row r="484" ht="18" customHeight="1" spans="1:7">
      <c r="A484" s="12">
        <v>482</v>
      </c>
      <c r="B484" s="12" t="s">
        <v>18</v>
      </c>
      <c r="C484" s="12" t="str">
        <f>"202205291702"</f>
        <v>202205291702</v>
      </c>
      <c r="D484" s="14">
        <v>0</v>
      </c>
      <c r="E484" s="14">
        <v>0</v>
      </c>
      <c r="F484" s="14">
        <f t="shared" si="14"/>
        <v>0</v>
      </c>
      <c r="G484" s="14">
        <f t="shared" si="15"/>
        <v>0</v>
      </c>
    </row>
    <row r="485" ht="18" customHeight="1" spans="1:7">
      <c r="A485" s="12">
        <v>483</v>
      </c>
      <c r="B485" s="12" t="s">
        <v>18</v>
      </c>
      <c r="C485" s="12" t="str">
        <f>"202205291703"</f>
        <v>202205291703</v>
      </c>
      <c r="D485" s="14">
        <v>78.2</v>
      </c>
      <c r="E485" s="14">
        <v>31</v>
      </c>
      <c r="F485" s="14">
        <f t="shared" si="14"/>
        <v>109.2</v>
      </c>
      <c r="G485" s="14">
        <f t="shared" si="15"/>
        <v>41.5666666666667</v>
      </c>
    </row>
    <row r="486" ht="18" customHeight="1" spans="1:7">
      <c r="A486" s="12">
        <v>484</v>
      </c>
      <c r="B486" s="12" t="s">
        <v>18</v>
      </c>
      <c r="C486" s="12" t="str">
        <f>"202205291704"</f>
        <v>202205291704</v>
      </c>
      <c r="D486" s="14">
        <v>78.4</v>
      </c>
      <c r="E486" s="14">
        <v>74</v>
      </c>
      <c r="F486" s="14">
        <f t="shared" si="14"/>
        <v>152.4</v>
      </c>
      <c r="G486" s="14">
        <f t="shared" si="15"/>
        <v>63.1333333333333</v>
      </c>
    </row>
    <row r="487" ht="18" customHeight="1" spans="1:7">
      <c r="A487" s="12">
        <v>485</v>
      </c>
      <c r="B487" s="12" t="s">
        <v>18</v>
      </c>
      <c r="C487" s="12" t="str">
        <f>"202205291705"</f>
        <v>202205291705</v>
      </c>
      <c r="D487" s="14">
        <v>60.8</v>
      </c>
      <c r="E487" s="14">
        <v>40</v>
      </c>
      <c r="F487" s="14">
        <f t="shared" si="14"/>
        <v>100.8</v>
      </c>
      <c r="G487" s="14">
        <f t="shared" si="15"/>
        <v>40.2666666666667</v>
      </c>
    </row>
    <row r="488" ht="18" customHeight="1" spans="1:7">
      <c r="A488" s="12">
        <v>486</v>
      </c>
      <c r="B488" s="12" t="s">
        <v>18</v>
      </c>
      <c r="C488" s="12" t="str">
        <f>"202205291706"</f>
        <v>202205291706</v>
      </c>
      <c r="D488" s="14">
        <v>73</v>
      </c>
      <c r="E488" s="14">
        <v>44</v>
      </c>
      <c r="F488" s="14">
        <f t="shared" si="14"/>
        <v>117</v>
      </c>
      <c r="G488" s="14">
        <f t="shared" si="15"/>
        <v>46.3333333333333</v>
      </c>
    </row>
    <row r="489" ht="18" customHeight="1" spans="1:7">
      <c r="A489" s="12">
        <v>487</v>
      </c>
      <c r="B489" s="12" t="s">
        <v>18</v>
      </c>
      <c r="C489" s="12" t="str">
        <f>"202205291707"</f>
        <v>202205291707</v>
      </c>
      <c r="D489" s="14">
        <v>59.2</v>
      </c>
      <c r="E489" s="14">
        <v>66</v>
      </c>
      <c r="F489" s="14">
        <f t="shared" si="14"/>
        <v>125.2</v>
      </c>
      <c r="G489" s="14">
        <f t="shared" si="15"/>
        <v>52.7333333333333</v>
      </c>
    </row>
    <row r="490" ht="18" customHeight="1" spans="1:7">
      <c r="A490" s="12">
        <v>488</v>
      </c>
      <c r="B490" s="12" t="s">
        <v>18</v>
      </c>
      <c r="C490" s="12" t="str">
        <f>"202205291708"</f>
        <v>202205291708</v>
      </c>
      <c r="D490" s="14">
        <v>0</v>
      </c>
      <c r="E490" s="14">
        <v>0</v>
      </c>
      <c r="F490" s="14">
        <f t="shared" si="14"/>
        <v>0</v>
      </c>
      <c r="G490" s="14">
        <f t="shared" si="15"/>
        <v>0</v>
      </c>
    </row>
    <row r="491" ht="18" customHeight="1" spans="1:7">
      <c r="A491" s="12">
        <v>489</v>
      </c>
      <c r="B491" s="12" t="s">
        <v>18</v>
      </c>
      <c r="C491" s="12" t="str">
        <f>"202205291709"</f>
        <v>202205291709</v>
      </c>
      <c r="D491" s="14">
        <v>80</v>
      </c>
      <c r="E491" s="14">
        <v>24</v>
      </c>
      <c r="F491" s="14">
        <f t="shared" si="14"/>
        <v>104</v>
      </c>
      <c r="G491" s="14">
        <f t="shared" si="15"/>
        <v>38.6666666666667</v>
      </c>
    </row>
    <row r="492" ht="18" customHeight="1" spans="1:7">
      <c r="A492" s="12">
        <v>490</v>
      </c>
      <c r="B492" s="12" t="s">
        <v>18</v>
      </c>
      <c r="C492" s="12" t="str">
        <f>"202205291710"</f>
        <v>202205291710</v>
      </c>
      <c r="D492" s="14">
        <v>0</v>
      </c>
      <c r="E492" s="14">
        <v>0</v>
      </c>
      <c r="F492" s="14">
        <f t="shared" si="14"/>
        <v>0</v>
      </c>
      <c r="G492" s="14">
        <f t="shared" si="15"/>
        <v>0</v>
      </c>
    </row>
    <row r="493" ht="18" customHeight="1" spans="1:7">
      <c r="A493" s="12">
        <v>491</v>
      </c>
      <c r="B493" s="12" t="s">
        <v>18</v>
      </c>
      <c r="C493" s="12" t="str">
        <f>"202205291711"</f>
        <v>202205291711</v>
      </c>
      <c r="D493" s="14">
        <v>62</v>
      </c>
      <c r="E493" s="14">
        <v>37</v>
      </c>
      <c r="F493" s="14">
        <f t="shared" si="14"/>
        <v>99</v>
      </c>
      <c r="G493" s="14">
        <f t="shared" si="15"/>
        <v>39.1666666666667</v>
      </c>
    </row>
    <row r="494" ht="18" customHeight="1" spans="1:7">
      <c r="A494" s="12">
        <v>492</v>
      </c>
      <c r="B494" s="12" t="s">
        <v>18</v>
      </c>
      <c r="C494" s="12" t="str">
        <f>"202205291712"</f>
        <v>202205291712</v>
      </c>
      <c r="D494" s="14">
        <v>0</v>
      </c>
      <c r="E494" s="14">
        <v>0</v>
      </c>
      <c r="F494" s="14">
        <f t="shared" si="14"/>
        <v>0</v>
      </c>
      <c r="G494" s="14">
        <f t="shared" si="15"/>
        <v>0</v>
      </c>
    </row>
    <row r="495" ht="18" customHeight="1" spans="1:7">
      <c r="A495" s="12">
        <v>493</v>
      </c>
      <c r="B495" s="12" t="s">
        <v>18</v>
      </c>
      <c r="C495" s="12" t="str">
        <f>"202205291713"</f>
        <v>202205291713</v>
      </c>
      <c r="D495" s="14">
        <v>67.6</v>
      </c>
      <c r="E495" s="14">
        <v>35</v>
      </c>
      <c r="F495" s="14">
        <f t="shared" si="14"/>
        <v>102.6</v>
      </c>
      <c r="G495" s="14">
        <f t="shared" si="15"/>
        <v>40.0333333333333</v>
      </c>
    </row>
    <row r="496" ht="18" customHeight="1" spans="1:7">
      <c r="A496" s="12">
        <v>494</v>
      </c>
      <c r="B496" s="12" t="s">
        <v>18</v>
      </c>
      <c r="C496" s="12" t="str">
        <f>"202205291714"</f>
        <v>202205291714</v>
      </c>
      <c r="D496" s="14">
        <v>67.2</v>
      </c>
      <c r="E496" s="14">
        <v>47</v>
      </c>
      <c r="F496" s="14">
        <f t="shared" si="14"/>
        <v>114.2</v>
      </c>
      <c r="G496" s="14">
        <f t="shared" si="15"/>
        <v>45.9</v>
      </c>
    </row>
    <row r="497" ht="18" customHeight="1" spans="1:7">
      <c r="A497" s="12">
        <v>495</v>
      </c>
      <c r="B497" s="12" t="s">
        <v>18</v>
      </c>
      <c r="C497" s="12" t="str">
        <f>"202205291715"</f>
        <v>202205291715</v>
      </c>
      <c r="D497" s="14">
        <v>70.2</v>
      </c>
      <c r="E497" s="14">
        <v>39</v>
      </c>
      <c r="F497" s="14">
        <f t="shared" si="14"/>
        <v>109.2</v>
      </c>
      <c r="G497" s="14">
        <f t="shared" si="15"/>
        <v>42.9</v>
      </c>
    </row>
    <row r="498" ht="18" customHeight="1" spans="1:7">
      <c r="A498" s="12">
        <v>496</v>
      </c>
      <c r="B498" s="12" t="s">
        <v>18</v>
      </c>
      <c r="C498" s="12" t="str">
        <f>"202205291716"</f>
        <v>202205291716</v>
      </c>
      <c r="D498" s="14">
        <v>77.2</v>
      </c>
      <c r="E498" s="14">
        <v>80</v>
      </c>
      <c r="F498" s="14">
        <f t="shared" si="14"/>
        <v>157.2</v>
      </c>
      <c r="G498" s="14">
        <f t="shared" si="15"/>
        <v>65.7333333333333</v>
      </c>
    </row>
    <row r="499" ht="18" customHeight="1" spans="1:7">
      <c r="A499" s="12">
        <v>497</v>
      </c>
      <c r="B499" s="12" t="s">
        <v>18</v>
      </c>
      <c r="C499" s="12" t="str">
        <f>"202205291717"</f>
        <v>202205291717</v>
      </c>
      <c r="D499" s="14">
        <v>71.6</v>
      </c>
      <c r="E499" s="14">
        <v>68</v>
      </c>
      <c r="F499" s="14">
        <f t="shared" si="14"/>
        <v>139.6</v>
      </c>
      <c r="G499" s="14">
        <f t="shared" si="15"/>
        <v>57.8666666666667</v>
      </c>
    </row>
    <row r="500" ht="18" customHeight="1" spans="1:7">
      <c r="A500" s="12">
        <v>498</v>
      </c>
      <c r="B500" s="12" t="s">
        <v>18</v>
      </c>
      <c r="C500" s="12" t="str">
        <f>"202205291718"</f>
        <v>202205291718</v>
      </c>
      <c r="D500" s="14">
        <v>66</v>
      </c>
      <c r="E500" s="14">
        <v>29</v>
      </c>
      <c r="F500" s="14">
        <f t="shared" si="14"/>
        <v>95</v>
      </c>
      <c r="G500" s="14">
        <f t="shared" si="15"/>
        <v>36.5</v>
      </c>
    </row>
    <row r="501" ht="18" customHeight="1" spans="1:7">
      <c r="A501" s="12">
        <v>499</v>
      </c>
      <c r="B501" s="12" t="s">
        <v>18</v>
      </c>
      <c r="C501" s="12" t="str">
        <f>"202205291719"</f>
        <v>202205291719</v>
      </c>
      <c r="D501" s="14">
        <v>74.2</v>
      </c>
      <c r="E501" s="14">
        <v>58</v>
      </c>
      <c r="F501" s="14">
        <f t="shared" si="14"/>
        <v>132.2</v>
      </c>
      <c r="G501" s="14">
        <f t="shared" si="15"/>
        <v>53.7333333333333</v>
      </c>
    </row>
    <row r="502" ht="18" customHeight="1" spans="1:7">
      <c r="A502" s="12">
        <v>500</v>
      </c>
      <c r="B502" s="12" t="s">
        <v>19</v>
      </c>
      <c r="C502" s="12" t="str">
        <f>"202205291720"</f>
        <v>202205291720</v>
      </c>
      <c r="D502" s="14">
        <v>64.8</v>
      </c>
      <c r="E502" s="14">
        <v>32</v>
      </c>
      <c r="F502" s="14">
        <f t="shared" si="14"/>
        <v>96.8</v>
      </c>
      <c r="G502" s="14">
        <f t="shared" si="15"/>
        <v>37.6</v>
      </c>
    </row>
    <row r="503" ht="18" customHeight="1" spans="1:7">
      <c r="A503" s="12">
        <v>501</v>
      </c>
      <c r="B503" s="12" t="s">
        <v>19</v>
      </c>
      <c r="C503" s="12" t="str">
        <f>"202205291721"</f>
        <v>202205291721</v>
      </c>
      <c r="D503" s="14">
        <v>83</v>
      </c>
      <c r="E503" s="14">
        <v>78</v>
      </c>
      <c r="F503" s="14">
        <f t="shared" si="14"/>
        <v>161</v>
      </c>
      <c r="G503" s="14">
        <f t="shared" si="15"/>
        <v>66.6666666666667</v>
      </c>
    </row>
    <row r="504" ht="18" customHeight="1" spans="1:7">
      <c r="A504" s="12">
        <v>502</v>
      </c>
      <c r="B504" s="12" t="s">
        <v>19</v>
      </c>
      <c r="C504" s="12" t="str">
        <f>"202205291722"</f>
        <v>202205291722</v>
      </c>
      <c r="D504" s="14">
        <v>0</v>
      </c>
      <c r="E504" s="14">
        <v>0</v>
      </c>
      <c r="F504" s="14">
        <f t="shared" si="14"/>
        <v>0</v>
      </c>
      <c r="G504" s="14">
        <f t="shared" si="15"/>
        <v>0</v>
      </c>
    </row>
    <row r="505" ht="18" customHeight="1" spans="1:7">
      <c r="A505" s="12">
        <v>503</v>
      </c>
      <c r="B505" s="12" t="s">
        <v>19</v>
      </c>
      <c r="C505" s="12" t="str">
        <f>"202205291723"</f>
        <v>202205291723</v>
      </c>
      <c r="D505" s="14">
        <v>80.4</v>
      </c>
      <c r="E505" s="14">
        <v>86</v>
      </c>
      <c r="F505" s="14">
        <f t="shared" si="14"/>
        <v>166.4</v>
      </c>
      <c r="G505" s="14">
        <f t="shared" si="15"/>
        <v>69.8</v>
      </c>
    </row>
    <row r="506" ht="18" customHeight="1" spans="1:7">
      <c r="A506" s="12">
        <v>504</v>
      </c>
      <c r="B506" s="12" t="s">
        <v>19</v>
      </c>
      <c r="C506" s="12" t="str">
        <f>"202205291724"</f>
        <v>202205291724</v>
      </c>
      <c r="D506" s="14">
        <v>89</v>
      </c>
      <c r="E506" s="14">
        <v>88</v>
      </c>
      <c r="F506" s="14">
        <f t="shared" si="14"/>
        <v>177</v>
      </c>
      <c r="G506" s="14">
        <f t="shared" si="15"/>
        <v>73.6666666666667</v>
      </c>
    </row>
    <row r="507" ht="18" customHeight="1" spans="1:7">
      <c r="A507" s="12">
        <v>505</v>
      </c>
      <c r="B507" s="12" t="s">
        <v>19</v>
      </c>
      <c r="C507" s="12" t="str">
        <f>"202205291725"</f>
        <v>202205291725</v>
      </c>
      <c r="D507" s="14">
        <v>72</v>
      </c>
      <c r="E507" s="14">
        <v>96</v>
      </c>
      <c r="F507" s="14">
        <f t="shared" si="14"/>
        <v>168</v>
      </c>
      <c r="G507" s="14">
        <f t="shared" si="15"/>
        <v>72</v>
      </c>
    </row>
    <row r="508" ht="18" customHeight="1" spans="1:7">
      <c r="A508" s="12">
        <v>506</v>
      </c>
      <c r="B508" s="12" t="s">
        <v>19</v>
      </c>
      <c r="C508" s="12" t="str">
        <f>"202205291726"</f>
        <v>202205291726</v>
      </c>
      <c r="D508" s="14">
        <v>79.4</v>
      </c>
      <c r="E508" s="14">
        <v>86</v>
      </c>
      <c r="F508" s="14">
        <f t="shared" si="14"/>
        <v>165.4</v>
      </c>
      <c r="G508" s="14">
        <f t="shared" si="15"/>
        <v>69.4666666666667</v>
      </c>
    </row>
    <row r="509" ht="18" customHeight="1" spans="1:7">
      <c r="A509" s="12">
        <v>507</v>
      </c>
      <c r="B509" s="12" t="s">
        <v>19</v>
      </c>
      <c r="C509" s="12" t="str">
        <f>"202205291727"</f>
        <v>202205291727</v>
      </c>
      <c r="D509" s="14">
        <v>74.8</v>
      </c>
      <c r="E509" s="14">
        <v>72</v>
      </c>
      <c r="F509" s="14">
        <f t="shared" si="14"/>
        <v>146.8</v>
      </c>
      <c r="G509" s="14">
        <f t="shared" si="15"/>
        <v>60.9333333333333</v>
      </c>
    </row>
    <row r="510" ht="18" customHeight="1" spans="1:7">
      <c r="A510" s="12">
        <v>508</v>
      </c>
      <c r="B510" s="12" t="s">
        <v>19</v>
      </c>
      <c r="C510" s="12" t="str">
        <f>"202205291728"</f>
        <v>202205291728</v>
      </c>
      <c r="D510" s="14">
        <v>79</v>
      </c>
      <c r="E510" s="14">
        <v>81</v>
      </c>
      <c r="F510" s="14">
        <f t="shared" si="14"/>
        <v>160</v>
      </c>
      <c r="G510" s="14">
        <f t="shared" si="15"/>
        <v>66.8333333333333</v>
      </c>
    </row>
    <row r="511" ht="18" customHeight="1" spans="1:7">
      <c r="A511" s="12">
        <v>509</v>
      </c>
      <c r="B511" s="12" t="s">
        <v>20</v>
      </c>
      <c r="C511" s="12" t="str">
        <f>"202205291729"</f>
        <v>202205291729</v>
      </c>
      <c r="D511" s="14">
        <v>0</v>
      </c>
      <c r="E511" s="14">
        <v>0</v>
      </c>
      <c r="F511" s="14">
        <f t="shared" si="14"/>
        <v>0</v>
      </c>
      <c r="G511" s="14">
        <f t="shared" si="15"/>
        <v>0</v>
      </c>
    </row>
    <row r="512" ht="18" customHeight="1" spans="1:7">
      <c r="A512" s="12">
        <v>510</v>
      </c>
      <c r="B512" s="12" t="s">
        <v>20</v>
      </c>
      <c r="C512" s="12" t="str">
        <f>"202205291730"</f>
        <v>202205291730</v>
      </c>
      <c r="D512" s="14">
        <v>74.6</v>
      </c>
      <c r="E512" s="14">
        <v>72</v>
      </c>
      <c r="F512" s="14">
        <f t="shared" si="14"/>
        <v>146.6</v>
      </c>
      <c r="G512" s="14">
        <f t="shared" si="15"/>
        <v>60.8666666666667</v>
      </c>
    </row>
    <row r="513" ht="18" customHeight="1" spans="1:7">
      <c r="A513" s="12">
        <v>511</v>
      </c>
      <c r="B513" s="12" t="s">
        <v>20</v>
      </c>
      <c r="C513" s="12" t="str">
        <f>"202205291801"</f>
        <v>202205291801</v>
      </c>
      <c r="D513" s="14">
        <v>78.2</v>
      </c>
      <c r="E513" s="14">
        <v>87</v>
      </c>
      <c r="F513" s="14">
        <f t="shared" si="14"/>
        <v>165.2</v>
      </c>
      <c r="G513" s="14">
        <f t="shared" si="15"/>
        <v>69.5666666666667</v>
      </c>
    </row>
    <row r="514" ht="18" customHeight="1" spans="1:7">
      <c r="A514" s="12">
        <v>512</v>
      </c>
      <c r="B514" s="12" t="s">
        <v>20</v>
      </c>
      <c r="C514" s="12" t="str">
        <f>"202205291802"</f>
        <v>202205291802</v>
      </c>
      <c r="D514" s="14">
        <v>76</v>
      </c>
      <c r="E514" s="14">
        <v>71</v>
      </c>
      <c r="F514" s="14">
        <f t="shared" si="14"/>
        <v>147</v>
      </c>
      <c r="G514" s="14">
        <f t="shared" si="15"/>
        <v>60.8333333333333</v>
      </c>
    </row>
    <row r="515" ht="18" customHeight="1" spans="1:7">
      <c r="A515" s="12">
        <v>513</v>
      </c>
      <c r="B515" s="12" t="s">
        <v>20</v>
      </c>
      <c r="C515" s="12" t="str">
        <f>"202205291803"</f>
        <v>202205291803</v>
      </c>
      <c r="D515" s="14">
        <v>0</v>
      </c>
      <c r="E515" s="14">
        <v>0</v>
      </c>
      <c r="F515" s="14">
        <f t="shared" si="14"/>
        <v>0</v>
      </c>
      <c r="G515" s="14">
        <f t="shared" si="15"/>
        <v>0</v>
      </c>
    </row>
    <row r="516" ht="18" customHeight="1" spans="1:7">
      <c r="A516" s="12">
        <v>514</v>
      </c>
      <c r="B516" s="12" t="s">
        <v>21</v>
      </c>
      <c r="C516" s="12" t="str">
        <f>"202205291804"</f>
        <v>202205291804</v>
      </c>
      <c r="D516" s="14">
        <v>0</v>
      </c>
      <c r="E516" s="14">
        <v>0</v>
      </c>
      <c r="F516" s="14">
        <f t="shared" ref="F516:F579" si="16">D516+E516</f>
        <v>0</v>
      </c>
      <c r="G516" s="14">
        <f t="shared" ref="G516:G579" si="17">D516/1.2*0.4+E516/1.2*0.6</f>
        <v>0</v>
      </c>
    </row>
    <row r="517" ht="18" customHeight="1" spans="1:7">
      <c r="A517" s="12">
        <v>515</v>
      </c>
      <c r="B517" s="12" t="s">
        <v>21</v>
      </c>
      <c r="C517" s="12" t="str">
        <f>"202205291805"</f>
        <v>202205291805</v>
      </c>
      <c r="D517" s="14">
        <v>71.6</v>
      </c>
      <c r="E517" s="14">
        <v>61</v>
      </c>
      <c r="F517" s="14">
        <f t="shared" si="16"/>
        <v>132.6</v>
      </c>
      <c r="G517" s="14">
        <f t="shared" si="17"/>
        <v>54.3666666666667</v>
      </c>
    </row>
    <row r="518" ht="18" customHeight="1" spans="1:7">
      <c r="A518" s="12">
        <v>516</v>
      </c>
      <c r="B518" s="12" t="s">
        <v>21</v>
      </c>
      <c r="C518" s="12" t="str">
        <f>"202205291806"</f>
        <v>202205291806</v>
      </c>
      <c r="D518" s="14">
        <v>75.6</v>
      </c>
      <c r="E518" s="14">
        <v>63</v>
      </c>
      <c r="F518" s="14">
        <f t="shared" si="16"/>
        <v>138.6</v>
      </c>
      <c r="G518" s="14">
        <f t="shared" si="17"/>
        <v>56.7</v>
      </c>
    </row>
    <row r="519" ht="18" customHeight="1" spans="1:7">
      <c r="A519" s="12">
        <v>517</v>
      </c>
      <c r="B519" s="12" t="s">
        <v>21</v>
      </c>
      <c r="C519" s="12" t="str">
        <f>"202205291807"</f>
        <v>202205291807</v>
      </c>
      <c r="D519" s="14">
        <v>73</v>
      </c>
      <c r="E519" s="14">
        <v>20</v>
      </c>
      <c r="F519" s="14">
        <f t="shared" si="16"/>
        <v>93</v>
      </c>
      <c r="G519" s="14">
        <f t="shared" si="17"/>
        <v>34.3333333333333</v>
      </c>
    </row>
    <row r="520" ht="18" customHeight="1" spans="1:7">
      <c r="A520" s="12">
        <v>518</v>
      </c>
      <c r="B520" s="12" t="s">
        <v>21</v>
      </c>
      <c r="C520" s="12" t="str">
        <f>"202205291808"</f>
        <v>202205291808</v>
      </c>
      <c r="D520" s="14">
        <v>0</v>
      </c>
      <c r="E520" s="14">
        <v>0</v>
      </c>
      <c r="F520" s="14">
        <f t="shared" si="16"/>
        <v>0</v>
      </c>
      <c r="G520" s="14">
        <f t="shared" si="17"/>
        <v>0</v>
      </c>
    </row>
    <row r="521" ht="18" customHeight="1" spans="1:7">
      <c r="A521" s="12">
        <v>519</v>
      </c>
      <c r="B521" s="12" t="s">
        <v>21</v>
      </c>
      <c r="C521" s="12" t="str">
        <f>"202205291809"</f>
        <v>202205291809</v>
      </c>
      <c r="D521" s="14">
        <v>0</v>
      </c>
      <c r="E521" s="14">
        <v>0</v>
      </c>
      <c r="F521" s="14">
        <f t="shared" si="16"/>
        <v>0</v>
      </c>
      <c r="G521" s="14">
        <f t="shared" si="17"/>
        <v>0</v>
      </c>
    </row>
    <row r="522" ht="18" customHeight="1" spans="1:7">
      <c r="A522" s="12">
        <v>520</v>
      </c>
      <c r="B522" s="12" t="s">
        <v>21</v>
      </c>
      <c r="C522" s="12" t="str">
        <f>"202205291810"</f>
        <v>202205291810</v>
      </c>
      <c r="D522" s="14">
        <v>0</v>
      </c>
      <c r="E522" s="14">
        <v>0</v>
      </c>
      <c r="F522" s="14">
        <f t="shared" si="16"/>
        <v>0</v>
      </c>
      <c r="G522" s="14">
        <f t="shared" si="17"/>
        <v>0</v>
      </c>
    </row>
    <row r="523" ht="18" customHeight="1" spans="1:7">
      <c r="A523" s="12">
        <v>521</v>
      </c>
      <c r="B523" s="12" t="s">
        <v>21</v>
      </c>
      <c r="C523" s="12" t="str">
        <f>"202205291811"</f>
        <v>202205291811</v>
      </c>
      <c r="D523" s="14">
        <v>69.2</v>
      </c>
      <c r="E523" s="14">
        <v>25</v>
      </c>
      <c r="F523" s="14">
        <f t="shared" si="16"/>
        <v>94.2</v>
      </c>
      <c r="G523" s="14">
        <f t="shared" si="17"/>
        <v>35.5666666666667</v>
      </c>
    </row>
    <row r="524" ht="18" customHeight="1" spans="1:7">
      <c r="A524" s="12">
        <v>522</v>
      </c>
      <c r="B524" s="12" t="s">
        <v>21</v>
      </c>
      <c r="C524" s="12" t="str">
        <f>"202205291812"</f>
        <v>202205291812</v>
      </c>
      <c r="D524" s="14">
        <v>0</v>
      </c>
      <c r="E524" s="14">
        <v>0</v>
      </c>
      <c r="F524" s="14">
        <f t="shared" si="16"/>
        <v>0</v>
      </c>
      <c r="G524" s="14">
        <f t="shared" si="17"/>
        <v>0</v>
      </c>
    </row>
    <row r="525" ht="18" customHeight="1" spans="1:7">
      <c r="A525" s="12">
        <v>523</v>
      </c>
      <c r="B525" s="12" t="s">
        <v>21</v>
      </c>
      <c r="C525" s="12" t="str">
        <f>"202205291813"</f>
        <v>202205291813</v>
      </c>
      <c r="D525" s="14">
        <v>0</v>
      </c>
      <c r="E525" s="14">
        <v>0</v>
      </c>
      <c r="F525" s="14">
        <f t="shared" si="16"/>
        <v>0</v>
      </c>
      <c r="G525" s="14">
        <f t="shared" si="17"/>
        <v>0</v>
      </c>
    </row>
    <row r="526" ht="18" customHeight="1" spans="1:7">
      <c r="A526" s="12">
        <v>524</v>
      </c>
      <c r="B526" s="12" t="s">
        <v>21</v>
      </c>
      <c r="C526" s="12" t="str">
        <f>"202205291814"</f>
        <v>202205291814</v>
      </c>
      <c r="D526" s="14">
        <v>0</v>
      </c>
      <c r="E526" s="14">
        <v>0</v>
      </c>
      <c r="F526" s="14">
        <f t="shared" si="16"/>
        <v>0</v>
      </c>
      <c r="G526" s="14">
        <f t="shared" si="17"/>
        <v>0</v>
      </c>
    </row>
    <row r="527" ht="18" customHeight="1" spans="1:7">
      <c r="A527" s="12">
        <v>525</v>
      </c>
      <c r="B527" s="12" t="s">
        <v>21</v>
      </c>
      <c r="C527" s="12" t="str">
        <f>"202205291815"</f>
        <v>202205291815</v>
      </c>
      <c r="D527" s="14">
        <v>80.8</v>
      </c>
      <c r="E527" s="14">
        <v>69</v>
      </c>
      <c r="F527" s="14">
        <f t="shared" si="16"/>
        <v>149.8</v>
      </c>
      <c r="G527" s="14">
        <f t="shared" si="17"/>
        <v>61.4333333333333</v>
      </c>
    </row>
    <row r="528" ht="18" customHeight="1" spans="1:7">
      <c r="A528" s="12">
        <v>526</v>
      </c>
      <c r="B528" s="12" t="s">
        <v>21</v>
      </c>
      <c r="C528" s="12" t="str">
        <f>"202205291816"</f>
        <v>202205291816</v>
      </c>
      <c r="D528" s="14">
        <v>64.8</v>
      </c>
      <c r="E528" s="14">
        <v>12</v>
      </c>
      <c r="F528" s="14">
        <f t="shared" si="16"/>
        <v>76.8</v>
      </c>
      <c r="G528" s="14">
        <f t="shared" si="17"/>
        <v>27.6</v>
      </c>
    </row>
    <row r="529" ht="18" customHeight="1" spans="1:7">
      <c r="A529" s="12">
        <v>527</v>
      </c>
      <c r="B529" s="12" t="s">
        <v>21</v>
      </c>
      <c r="C529" s="12" t="str">
        <f>"202205291817"</f>
        <v>202205291817</v>
      </c>
      <c r="D529" s="14">
        <v>93</v>
      </c>
      <c r="E529" s="14">
        <v>74</v>
      </c>
      <c r="F529" s="14">
        <f t="shared" si="16"/>
        <v>167</v>
      </c>
      <c r="G529" s="14">
        <f t="shared" si="17"/>
        <v>68</v>
      </c>
    </row>
    <row r="530" ht="18" customHeight="1" spans="1:7">
      <c r="A530" s="12">
        <v>528</v>
      </c>
      <c r="B530" s="12" t="s">
        <v>21</v>
      </c>
      <c r="C530" s="12" t="str">
        <f>"202205291818"</f>
        <v>202205291818</v>
      </c>
      <c r="D530" s="14">
        <v>0</v>
      </c>
      <c r="E530" s="14">
        <v>0</v>
      </c>
      <c r="F530" s="14">
        <f t="shared" si="16"/>
        <v>0</v>
      </c>
      <c r="G530" s="14">
        <f t="shared" si="17"/>
        <v>0</v>
      </c>
    </row>
    <row r="531" ht="18" customHeight="1" spans="1:7">
      <c r="A531" s="12">
        <v>529</v>
      </c>
      <c r="B531" s="12" t="s">
        <v>21</v>
      </c>
      <c r="C531" s="12" t="str">
        <f>"202205291819"</f>
        <v>202205291819</v>
      </c>
      <c r="D531" s="14">
        <v>75.4</v>
      </c>
      <c r="E531" s="14">
        <v>49</v>
      </c>
      <c r="F531" s="14">
        <f t="shared" si="16"/>
        <v>124.4</v>
      </c>
      <c r="G531" s="14">
        <f t="shared" si="17"/>
        <v>49.6333333333333</v>
      </c>
    </row>
    <row r="532" ht="18" customHeight="1" spans="1:7">
      <c r="A532" s="12">
        <v>530</v>
      </c>
      <c r="B532" s="12" t="s">
        <v>21</v>
      </c>
      <c r="C532" s="12" t="str">
        <f>"202205291820"</f>
        <v>202205291820</v>
      </c>
      <c r="D532" s="14">
        <v>72.6</v>
      </c>
      <c r="E532" s="14">
        <v>76</v>
      </c>
      <c r="F532" s="14">
        <f t="shared" si="16"/>
        <v>148.6</v>
      </c>
      <c r="G532" s="14">
        <f t="shared" si="17"/>
        <v>62.2</v>
      </c>
    </row>
    <row r="533" ht="18" customHeight="1" spans="1:7">
      <c r="A533" s="12">
        <v>531</v>
      </c>
      <c r="B533" s="12" t="s">
        <v>21</v>
      </c>
      <c r="C533" s="12" t="str">
        <f>"202205291821"</f>
        <v>202205291821</v>
      </c>
      <c r="D533" s="14">
        <v>84</v>
      </c>
      <c r="E533" s="14">
        <v>59</v>
      </c>
      <c r="F533" s="14">
        <f t="shared" si="16"/>
        <v>143</v>
      </c>
      <c r="G533" s="14">
        <f t="shared" si="17"/>
        <v>57.5</v>
      </c>
    </row>
    <row r="534" ht="18" customHeight="1" spans="1:7">
      <c r="A534" s="12">
        <v>532</v>
      </c>
      <c r="B534" s="12" t="s">
        <v>21</v>
      </c>
      <c r="C534" s="12" t="str">
        <f>"202205291822"</f>
        <v>202205291822</v>
      </c>
      <c r="D534" s="14">
        <v>64.4</v>
      </c>
      <c r="E534" s="14">
        <v>46</v>
      </c>
      <c r="F534" s="14">
        <f t="shared" si="16"/>
        <v>110.4</v>
      </c>
      <c r="G534" s="14">
        <f t="shared" si="17"/>
        <v>44.4666666666667</v>
      </c>
    </row>
    <row r="535" ht="18" customHeight="1" spans="1:7">
      <c r="A535" s="12">
        <v>533</v>
      </c>
      <c r="B535" s="12" t="s">
        <v>22</v>
      </c>
      <c r="C535" s="12" t="str">
        <f>"202205291823"</f>
        <v>202205291823</v>
      </c>
      <c r="D535" s="14">
        <v>0</v>
      </c>
      <c r="E535" s="14">
        <v>0</v>
      </c>
      <c r="F535" s="14">
        <f t="shared" si="16"/>
        <v>0</v>
      </c>
      <c r="G535" s="14">
        <f t="shared" si="17"/>
        <v>0</v>
      </c>
    </row>
    <row r="536" ht="18" customHeight="1" spans="1:7">
      <c r="A536" s="12">
        <v>534</v>
      </c>
      <c r="B536" s="12" t="s">
        <v>22</v>
      </c>
      <c r="C536" s="12" t="str">
        <f>"202205291824"</f>
        <v>202205291824</v>
      </c>
      <c r="D536" s="14">
        <v>0</v>
      </c>
      <c r="E536" s="14">
        <v>0</v>
      </c>
      <c r="F536" s="14">
        <f t="shared" si="16"/>
        <v>0</v>
      </c>
      <c r="G536" s="14">
        <f t="shared" si="17"/>
        <v>0</v>
      </c>
    </row>
    <row r="537" ht="18" customHeight="1" spans="1:7">
      <c r="A537" s="12">
        <v>535</v>
      </c>
      <c r="B537" s="12" t="s">
        <v>22</v>
      </c>
      <c r="C537" s="12" t="str">
        <f>"202205291825"</f>
        <v>202205291825</v>
      </c>
      <c r="D537" s="14">
        <v>73</v>
      </c>
      <c r="E537" s="14">
        <v>58</v>
      </c>
      <c r="F537" s="14">
        <f t="shared" si="16"/>
        <v>131</v>
      </c>
      <c r="G537" s="14">
        <f t="shared" si="17"/>
        <v>53.3333333333333</v>
      </c>
    </row>
    <row r="538" ht="18" customHeight="1" spans="1:7">
      <c r="A538" s="12">
        <v>536</v>
      </c>
      <c r="B538" s="12" t="s">
        <v>22</v>
      </c>
      <c r="C538" s="12" t="str">
        <f>"202205291826"</f>
        <v>202205291826</v>
      </c>
      <c r="D538" s="14">
        <v>85.4</v>
      </c>
      <c r="E538" s="14">
        <v>53</v>
      </c>
      <c r="F538" s="14">
        <f t="shared" si="16"/>
        <v>138.4</v>
      </c>
      <c r="G538" s="14">
        <f t="shared" si="17"/>
        <v>54.9666666666667</v>
      </c>
    </row>
    <row r="539" ht="18" customHeight="1" spans="1:7">
      <c r="A539" s="12">
        <v>537</v>
      </c>
      <c r="B539" s="12" t="s">
        <v>22</v>
      </c>
      <c r="C539" s="12" t="str">
        <f>"202205291827"</f>
        <v>202205291827</v>
      </c>
      <c r="D539" s="14">
        <v>0</v>
      </c>
      <c r="E539" s="14">
        <v>0</v>
      </c>
      <c r="F539" s="14">
        <f t="shared" si="16"/>
        <v>0</v>
      </c>
      <c r="G539" s="14">
        <f t="shared" si="17"/>
        <v>0</v>
      </c>
    </row>
    <row r="540" ht="18" customHeight="1" spans="1:7">
      <c r="A540" s="12">
        <v>538</v>
      </c>
      <c r="B540" s="12" t="s">
        <v>22</v>
      </c>
      <c r="C540" s="12" t="str">
        <f>"202205291828"</f>
        <v>202205291828</v>
      </c>
      <c r="D540" s="14">
        <v>86.8</v>
      </c>
      <c r="E540" s="14">
        <v>79</v>
      </c>
      <c r="F540" s="14">
        <f t="shared" si="16"/>
        <v>165.8</v>
      </c>
      <c r="G540" s="14">
        <f t="shared" si="17"/>
        <v>68.4333333333333</v>
      </c>
    </row>
    <row r="541" ht="18" customHeight="1" spans="1:7">
      <c r="A541" s="12">
        <v>539</v>
      </c>
      <c r="B541" s="12" t="s">
        <v>22</v>
      </c>
      <c r="C541" s="12" t="str">
        <f>"202205291829"</f>
        <v>202205291829</v>
      </c>
      <c r="D541" s="14">
        <v>78.8</v>
      </c>
      <c r="E541" s="14">
        <v>54</v>
      </c>
      <c r="F541" s="14">
        <f t="shared" si="16"/>
        <v>132.8</v>
      </c>
      <c r="G541" s="14">
        <f t="shared" si="17"/>
        <v>53.2666666666667</v>
      </c>
    </row>
    <row r="542" ht="18" customHeight="1" spans="1:7">
      <c r="A542" s="12">
        <v>540</v>
      </c>
      <c r="B542" s="12" t="s">
        <v>22</v>
      </c>
      <c r="C542" s="12" t="str">
        <f>"202205291830"</f>
        <v>202205291830</v>
      </c>
      <c r="D542" s="14">
        <v>0</v>
      </c>
      <c r="E542" s="14">
        <v>0</v>
      </c>
      <c r="F542" s="14">
        <f t="shared" si="16"/>
        <v>0</v>
      </c>
      <c r="G542" s="14">
        <f t="shared" si="17"/>
        <v>0</v>
      </c>
    </row>
    <row r="543" ht="18" customHeight="1" spans="1:7">
      <c r="A543" s="12">
        <v>541</v>
      </c>
      <c r="B543" s="12" t="s">
        <v>22</v>
      </c>
      <c r="C543" s="12" t="str">
        <f>"202205291901"</f>
        <v>202205291901</v>
      </c>
      <c r="D543" s="14">
        <v>0</v>
      </c>
      <c r="E543" s="14">
        <v>0</v>
      </c>
      <c r="F543" s="14">
        <f t="shared" si="16"/>
        <v>0</v>
      </c>
      <c r="G543" s="14">
        <f t="shared" si="17"/>
        <v>0</v>
      </c>
    </row>
    <row r="544" ht="18" customHeight="1" spans="1:7">
      <c r="A544" s="12">
        <v>542</v>
      </c>
      <c r="B544" s="12" t="s">
        <v>22</v>
      </c>
      <c r="C544" s="12" t="str">
        <f>"202205291902"</f>
        <v>202205291902</v>
      </c>
      <c r="D544" s="14">
        <v>71.8</v>
      </c>
      <c r="E544" s="14">
        <v>28</v>
      </c>
      <c r="F544" s="14">
        <f t="shared" si="16"/>
        <v>99.8</v>
      </c>
      <c r="G544" s="14">
        <f t="shared" si="17"/>
        <v>37.9333333333333</v>
      </c>
    </row>
    <row r="545" ht="18" customHeight="1" spans="1:7">
      <c r="A545" s="12">
        <v>543</v>
      </c>
      <c r="B545" s="12" t="s">
        <v>22</v>
      </c>
      <c r="C545" s="12" t="str">
        <f>"202205291903"</f>
        <v>202205291903</v>
      </c>
      <c r="D545" s="14">
        <v>72</v>
      </c>
      <c r="E545" s="14">
        <v>60</v>
      </c>
      <c r="F545" s="14">
        <f t="shared" si="16"/>
        <v>132</v>
      </c>
      <c r="G545" s="14">
        <f t="shared" si="17"/>
        <v>54</v>
      </c>
    </row>
    <row r="546" ht="18" customHeight="1" spans="1:7">
      <c r="A546" s="12">
        <v>544</v>
      </c>
      <c r="B546" s="12" t="s">
        <v>22</v>
      </c>
      <c r="C546" s="12" t="str">
        <f>"202205291904"</f>
        <v>202205291904</v>
      </c>
      <c r="D546" s="14">
        <v>75</v>
      </c>
      <c r="E546" s="14">
        <v>51</v>
      </c>
      <c r="F546" s="14">
        <f t="shared" si="16"/>
        <v>126</v>
      </c>
      <c r="G546" s="14">
        <f t="shared" si="17"/>
        <v>50.5</v>
      </c>
    </row>
    <row r="547" ht="18" customHeight="1" spans="1:7">
      <c r="A547" s="12">
        <v>545</v>
      </c>
      <c r="B547" s="12" t="s">
        <v>22</v>
      </c>
      <c r="C547" s="12" t="str">
        <f>"202205291905"</f>
        <v>202205291905</v>
      </c>
      <c r="D547" s="14">
        <v>0</v>
      </c>
      <c r="E547" s="14">
        <v>0</v>
      </c>
      <c r="F547" s="14">
        <f t="shared" si="16"/>
        <v>0</v>
      </c>
      <c r="G547" s="14">
        <f t="shared" si="17"/>
        <v>0</v>
      </c>
    </row>
    <row r="548" ht="18" customHeight="1" spans="1:7">
      <c r="A548" s="12">
        <v>546</v>
      </c>
      <c r="B548" s="12" t="s">
        <v>22</v>
      </c>
      <c r="C548" s="12" t="str">
        <f>"202205291906"</f>
        <v>202205291906</v>
      </c>
      <c r="D548" s="14">
        <v>0</v>
      </c>
      <c r="E548" s="14">
        <v>0</v>
      </c>
      <c r="F548" s="14">
        <f t="shared" si="16"/>
        <v>0</v>
      </c>
      <c r="G548" s="14">
        <f t="shared" si="17"/>
        <v>0</v>
      </c>
    </row>
    <row r="549" ht="18" customHeight="1" spans="1:7">
      <c r="A549" s="12">
        <v>547</v>
      </c>
      <c r="B549" s="12" t="s">
        <v>22</v>
      </c>
      <c r="C549" s="12" t="str">
        <f>"202205291907"</f>
        <v>202205291907</v>
      </c>
      <c r="D549" s="14">
        <v>76.6</v>
      </c>
      <c r="E549" s="14">
        <v>48</v>
      </c>
      <c r="F549" s="14">
        <f t="shared" si="16"/>
        <v>124.6</v>
      </c>
      <c r="G549" s="14">
        <f t="shared" si="17"/>
        <v>49.5333333333333</v>
      </c>
    </row>
    <row r="550" ht="18" customHeight="1" spans="1:7">
      <c r="A550" s="12">
        <v>548</v>
      </c>
      <c r="B550" s="12" t="s">
        <v>22</v>
      </c>
      <c r="C550" s="12" t="str">
        <f>"202205291908"</f>
        <v>202205291908</v>
      </c>
      <c r="D550" s="14">
        <v>0</v>
      </c>
      <c r="E550" s="14">
        <v>0</v>
      </c>
      <c r="F550" s="14">
        <f t="shared" si="16"/>
        <v>0</v>
      </c>
      <c r="G550" s="14">
        <f t="shared" si="17"/>
        <v>0</v>
      </c>
    </row>
    <row r="551" ht="18" customHeight="1" spans="1:7">
      <c r="A551" s="12">
        <v>549</v>
      </c>
      <c r="B551" s="12" t="s">
        <v>22</v>
      </c>
      <c r="C551" s="12" t="str">
        <f>"202205291909"</f>
        <v>202205291909</v>
      </c>
      <c r="D551" s="14">
        <v>0</v>
      </c>
      <c r="E551" s="14">
        <v>0</v>
      </c>
      <c r="F551" s="14">
        <f t="shared" si="16"/>
        <v>0</v>
      </c>
      <c r="G551" s="14">
        <f t="shared" si="17"/>
        <v>0</v>
      </c>
    </row>
    <row r="552" ht="18" customHeight="1" spans="1:7">
      <c r="A552" s="12">
        <v>550</v>
      </c>
      <c r="B552" s="12" t="s">
        <v>22</v>
      </c>
      <c r="C552" s="12" t="str">
        <f>"202205291910"</f>
        <v>202205291910</v>
      </c>
      <c r="D552" s="14">
        <v>0</v>
      </c>
      <c r="E552" s="14">
        <v>0</v>
      </c>
      <c r="F552" s="14">
        <f t="shared" si="16"/>
        <v>0</v>
      </c>
      <c r="G552" s="14">
        <f t="shared" si="17"/>
        <v>0</v>
      </c>
    </row>
    <row r="553" ht="18" customHeight="1" spans="1:7">
      <c r="A553" s="12">
        <v>551</v>
      </c>
      <c r="B553" s="12" t="s">
        <v>22</v>
      </c>
      <c r="C553" s="12" t="str">
        <f>"202205291911"</f>
        <v>202205291911</v>
      </c>
      <c r="D553" s="14">
        <v>64.8</v>
      </c>
      <c r="E553" s="14">
        <v>9</v>
      </c>
      <c r="F553" s="14">
        <f t="shared" si="16"/>
        <v>73.8</v>
      </c>
      <c r="G553" s="14">
        <f t="shared" si="17"/>
        <v>26.1</v>
      </c>
    </row>
    <row r="554" ht="18" customHeight="1" spans="1:7">
      <c r="A554" s="12">
        <v>552</v>
      </c>
      <c r="B554" s="12" t="s">
        <v>22</v>
      </c>
      <c r="C554" s="12" t="str">
        <f>"202205291912"</f>
        <v>202205291912</v>
      </c>
      <c r="D554" s="14">
        <v>0</v>
      </c>
      <c r="E554" s="14">
        <v>0</v>
      </c>
      <c r="F554" s="14">
        <f t="shared" si="16"/>
        <v>0</v>
      </c>
      <c r="G554" s="14">
        <f t="shared" si="17"/>
        <v>0</v>
      </c>
    </row>
    <row r="555" ht="18" customHeight="1" spans="1:7">
      <c r="A555" s="12">
        <v>553</v>
      </c>
      <c r="B555" s="12" t="s">
        <v>22</v>
      </c>
      <c r="C555" s="12" t="str">
        <f>"202205291913"</f>
        <v>202205291913</v>
      </c>
      <c r="D555" s="14">
        <v>73.4</v>
      </c>
      <c r="E555" s="14">
        <v>50</v>
      </c>
      <c r="F555" s="14">
        <f t="shared" si="16"/>
        <v>123.4</v>
      </c>
      <c r="G555" s="14">
        <f t="shared" si="17"/>
        <v>49.4666666666667</v>
      </c>
    </row>
    <row r="556" ht="18" customHeight="1" spans="1:7">
      <c r="A556" s="12">
        <v>554</v>
      </c>
      <c r="B556" s="12" t="s">
        <v>22</v>
      </c>
      <c r="C556" s="12" t="str">
        <f>"202205291914"</f>
        <v>202205291914</v>
      </c>
      <c r="D556" s="14">
        <v>86.8</v>
      </c>
      <c r="E556" s="14">
        <v>38</v>
      </c>
      <c r="F556" s="14">
        <f t="shared" si="16"/>
        <v>124.8</v>
      </c>
      <c r="G556" s="14">
        <f t="shared" si="17"/>
        <v>47.9333333333333</v>
      </c>
    </row>
    <row r="557" ht="18" customHeight="1" spans="1:7">
      <c r="A557" s="12">
        <v>555</v>
      </c>
      <c r="B557" s="12" t="s">
        <v>22</v>
      </c>
      <c r="C557" s="12" t="str">
        <f>"202205291915"</f>
        <v>202205291915</v>
      </c>
      <c r="D557" s="14">
        <v>0</v>
      </c>
      <c r="E557" s="14">
        <v>0</v>
      </c>
      <c r="F557" s="14">
        <f t="shared" si="16"/>
        <v>0</v>
      </c>
      <c r="G557" s="14">
        <f t="shared" si="17"/>
        <v>0</v>
      </c>
    </row>
    <row r="558" ht="18" customHeight="1" spans="1:7">
      <c r="A558" s="12">
        <v>556</v>
      </c>
      <c r="B558" s="12" t="s">
        <v>22</v>
      </c>
      <c r="C558" s="12" t="str">
        <f>"202205291916"</f>
        <v>202205291916</v>
      </c>
      <c r="D558" s="14">
        <v>69</v>
      </c>
      <c r="E558" s="14">
        <v>43</v>
      </c>
      <c r="F558" s="14">
        <f t="shared" si="16"/>
        <v>112</v>
      </c>
      <c r="G558" s="14">
        <f t="shared" si="17"/>
        <v>44.5</v>
      </c>
    </row>
    <row r="559" ht="18" customHeight="1" spans="1:7">
      <c r="A559" s="12">
        <v>557</v>
      </c>
      <c r="B559" s="12" t="s">
        <v>22</v>
      </c>
      <c r="C559" s="12" t="str">
        <f>"202205291917"</f>
        <v>202205291917</v>
      </c>
      <c r="D559" s="14">
        <v>0</v>
      </c>
      <c r="E559" s="14">
        <v>0</v>
      </c>
      <c r="F559" s="14">
        <f t="shared" si="16"/>
        <v>0</v>
      </c>
      <c r="G559" s="14">
        <f t="shared" si="17"/>
        <v>0</v>
      </c>
    </row>
    <row r="560" ht="18" customHeight="1" spans="1:7">
      <c r="A560" s="12">
        <v>558</v>
      </c>
      <c r="B560" s="12" t="s">
        <v>22</v>
      </c>
      <c r="C560" s="12" t="str">
        <f>"202205291918"</f>
        <v>202205291918</v>
      </c>
      <c r="D560" s="14">
        <v>0</v>
      </c>
      <c r="E560" s="14">
        <v>0</v>
      </c>
      <c r="F560" s="14">
        <f t="shared" si="16"/>
        <v>0</v>
      </c>
      <c r="G560" s="14">
        <f t="shared" si="17"/>
        <v>0</v>
      </c>
    </row>
    <row r="561" ht="18" customHeight="1" spans="1:7">
      <c r="A561" s="12">
        <v>559</v>
      </c>
      <c r="B561" s="12" t="s">
        <v>22</v>
      </c>
      <c r="C561" s="12" t="str">
        <f>"202205291919"</f>
        <v>202205291919</v>
      </c>
      <c r="D561" s="14">
        <v>41.2</v>
      </c>
      <c r="E561" s="14">
        <v>7</v>
      </c>
      <c r="F561" s="14">
        <f t="shared" si="16"/>
        <v>48.2</v>
      </c>
      <c r="G561" s="14">
        <f t="shared" si="17"/>
        <v>17.2333333333333</v>
      </c>
    </row>
    <row r="562" ht="18" customHeight="1" spans="1:7">
      <c r="A562" s="12">
        <v>560</v>
      </c>
      <c r="B562" s="12" t="s">
        <v>22</v>
      </c>
      <c r="C562" s="12" t="str">
        <f>"202205291920"</f>
        <v>202205291920</v>
      </c>
      <c r="D562" s="14">
        <v>38.8</v>
      </c>
      <c r="E562" s="14">
        <v>11</v>
      </c>
      <c r="F562" s="14">
        <f t="shared" si="16"/>
        <v>49.8</v>
      </c>
      <c r="G562" s="14">
        <f t="shared" si="17"/>
        <v>18.4333333333333</v>
      </c>
    </row>
    <row r="563" ht="18" customHeight="1" spans="1:7">
      <c r="A563" s="12">
        <v>561</v>
      </c>
      <c r="B563" s="12" t="s">
        <v>22</v>
      </c>
      <c r="C563" s="12" t="str">
        <f>"202205291921"</f>
        <v>202205291921</v>
      </c>
      <c r="D563" s="14">
        <v>68</v>
      </c>
      <c r="E563" s="14">
        <v>40</v>
      </c>
      <c r="F563" s="14">
        <f t="shared" si="16"/>
        <v>108</v>
      </c>
      <c r="G563" s="14">
        <f t="shared" si="17"/>
        <v>42.6666666666667</v>
      </c>
    </row>
    <row r="564" ht="18" customHeight="1" spans="1:7">
      <c r="A564" s="12">
        <v>562</v>
      </c>
      <c r="B564" s="12" t="s">
        <v>22</v>
      </c>
      <c r="C564" s="12" t="str">
        <f>"202205291922"</f>
        <v>202205291922</v>
      </c>
      <c r="D564" s="14">
        <v>0</v>
      </c>
      <c r="E564" s="14">
        <v>0</v>
      </c>
      <c r="F564" s="14">
        <f t="shared" si="16"/>
        <v>0</v>
      </c>
      <c r="G564" s="14">
        <f t="shared" si="17"/>
        <v>0</v>
      </c>
    </row>
    <row r="565" ht="18" customHeight="1" spans="1:7">
      <c r="A565" s="12">
        <v>563</v>
      </c>
      <c r="B565" s="12" t="s">
        <v>22</v>
      </c>
      <c r="C565" s="12" t="str">
        <f>"202205291923"</f>
        <v>202205291923</v>
      </c>
      <c r="D565" s="14">
        <v>72.8</v>
      </c>
      <c r="E565" s="14">
        <v>26</v>
      </c>
      <c r="F565" s="14">
        <f t="shared" si="16"/>
        <v>98.8</v>
      </c>
      <c r="G565" s="14">
        <f t="shared" si="17"/>
        <v>37.2666666666667</v>
      </c>
    </row>
    <row r="566" ht="18" customHeight="1" spans="1:7">
      <c r="A566" s="12">
        <v>564</v>
      </c>
      <c r="B566" s="12" t="s">
        <v>22</v>
      </c>
      <c r="C566" s="12" t="str">
        <f>"202205291924"</f>
        <v>202205291924</v>
      </c>
      <c r="D566" s="14">
        <v>78.8</v>
      </c>
      <c r="E566" s="14">
        <v>52</v>
      </c>
      <c r="F566" s="14">
        <f t="shared" si="16"/>
        <v>130.8</v>
      </c>
      <c r="G566" s="14">
        <f t="shared" si="17"/>
        <v>52.2666666666667</v>
      </c>
    </row>
    <row r="567" ht="18" customHeight="1" spans="1:7">
      <c r="A567" s="12">
        <v>565</v>
      </c>
      <c r="B567" s="12" t="s">
        <v>22</v>
      </c>
      <c r="C567" s="12" t="str">
        <f>"202205291925"</f>
        <v>202205291925</v>
      </c>
      <c r="D567" s="14">
        <v>54.8</v>
      </c>
      <c r="E567" s="14">
        <v>19</v>
      </c>
      <c r="F567" s="14">
        <f t="shared" si="16"/>
        <v>73.8</v>
      </c>
      <c r="G567" s="14">
        <f t="shared" si="17"/>
        <v>27.7666666666667</v>
      </c>
    </row>
    <row r="568" ht="18" customHeight="1" spans="1:7">
      <c r="A568" s="12">
        <v>566</v>
      </c>
      <c r="B568" s="12" t="s">
        <v>22</v>
      </c>
      <c r="C568" s="12" t="str">
        <f>"202205291926"</f>
        <v>202205291926</v>
      </c>
      <c r="D568" s="14">
        <v>0</v>
      </c>
      <c r="E568" s="14">
        <v>0</v>
      </c>
      <c r="F568" s="14">
        <f t="shared" si="16"/>
        <v>0</v>
      </c>
      <c r="G568" s="14">
        <f t="shared" si="17"/>
        <v>0</v>
      </c>
    </row>
    <row r="569" ht="18" customHeight="1" spans="1:7">
      <c r="A569" s="12">
        <v>567</v>
      </c>
      <c r="B569" s="12" t="s">
        <v>22</v>
      </c>
      <c r="C569" s="12" t="str">
        <f>"202205291927"</f>
        <v>202205291927</v>
      </c>
      <c r="D569" s="14">
        <v>71.4</v>
      </c>
      <c r="E569" s="14">
        <v>62</v>
      </c>
      <c r="F569" s="14">
        <f t="shared" si="16"/>
        <v>133.4</v>
      </c>
      <c r="G569" s="14">
        <f t="shared" si="17"/>
        <v>54.8</v>
      </c>
    </row>
    <row r="570" ht="18" customHeight="1" spans="1:7">
      <c r="A570" s="12">
        <v>568</v>
      </c>
      <c r="B570" s="12" t="s">
        <v>22</v>
      </c>
      <c r="C570" s="12" t="str">
        <f>"202205291928"</f>
        <v>202205291928</v>
      </c>
      <c r="D570" s="14">
        <v>0</v>
      </c>
      <c r="E570" s="14">
        <v>0</v>
      </c>
      <c r="F570" s="14">
        <f t="shared" si="16"/>
        <v>0</v>
      </c>
      <c r="G570" s="14">
        <f t="shared" si="17"/>
        <v>0</v>
      </c>
    </row>
    <row r="571" ht="18" customHeight="1" spans="1:7">
      <c r="A571" s="12">
        <v>569</v>
      </c>
      <c r="B571" s="12" t="s">
        <v>22</v>
      </c>
      <c r="C571" s="12" t="str">
        <f>"202205291929"</f>
        <v>202205291929</v>
      </c>
      <c r="D571" s="14">
        <v>75.4</v>
      </c>
      <c r="E571" s="14">
        <v>8</v>
      </c>
      <c r="F571" s="14">
        <f t="shared" si="16"/>
        <v>83.4</v>
      </c>
      <c r="G571" s="14">
        <f t="shared" si="17"/>
        <v>29.1333333333333</v>
      </c>
    </row>
    <row r="572" ht="18" customHeight="1" spans="1:7">
      <c r="A572" s="12">
        <v>570</v>
      </c>
      <c r="B572" s="12" t="s">
        <v>22</v>
      </c>
      <c r="C572" s="12" t="str">
        <f>"202205291930"</f>
        <v>202205291930</v>
      </c>
      <c r="D572" s="14">
        <v>68.6</v>
      </c>
      <c r="E572" s="14">
        <v>42</v>
      </c>
      <c r="F572" s="14">
        <f t="shared" si="16"/>
        <v>110.6</v>
      </c>
      <c r="G572" s="14">
        <f t="shared" si="17"/>
        <v>43.8666666666667</v>
      </c>
    </row>
    <row r="573" ht="18" customHeight="1" spans="1:7">
      <c r="A573" s="12">
        <v>571</v>
      </c>
      <c r="B573" s="12" t="s">
        <v>22</v>
      </c>
      <c r="C573" s="12" t="str">
        <f>"202205292001"</f>
        <v>202205292001</v>
      </c>
      <c r="D573" s="14">
        <v>68.8</v>
      </c>
      <c r="E573" s="14">
        <v>84</v>
      </c>
      <c r="F573" s="14">
        <f t="shared" si="16"/>
        <v>152.8</v>
      </c>
      <c r="G573" s="14">
        <f t="shared" si="17"/>
        <v>64.9333333333333</v>
      </c>
    </row>
    <row r="574" ht="18" customHeight="1" spans="1:7">
      <c r="A574" s="12">
        <v>572</v>
      </c>
      <c r="B574" s="12" t="s">
        <v>22</v>
      </c>
      <c r="C574" s="12" t="str">
        <f>"202205292002"</f>
        <v>202205292002</v>
      </c>
      <c r="D574" s="14">
        <v>71.2</v>
      </c>
      <c r="E574" s="14">
        <v>63</v>
      </c>
      <c r="F574" s="14">
        <f t="shared" si="16"/>
        <v>134.2</v>
      </c>
      <c r="G574" s="14">
        <f t="shared" si="17"/>
        <v>55.2333333333333</v>
      </c>
    </row>
    <row r="575" ht="18" customHeight="1" spans="1:7">
      <c r="A575" s="12">
        <v>573</v>
      </c>
      <c r="B575" s="12" t="s">
        <v>22</v>
      </c>
      <c r="C575" s="12" t="str">
        <f>"202205292003"</f>
        <v>202205292003</v>
      </c>
      <c r="D575" s="14">
        <v>0</v>
      </c>
      <c r="E575" s="14">
        <v>0</v>
      </c>
      <c r="F575" s="14">
        <f t="shared" si="16"/>
        <v>0</v>
      </c>
      <c r="G575" s="14">
        <f t="shared" si="17"/>
        <v>0</v>
      </c>
    </row>
    <row r="576" ht="18" customHeight="1" spans="1:7">
      <c r="A576" s="12">
        <v>574</v>
      </c>
      <c r="B576" s="12" t="s">
        <v>22</v>
      </c>
      <c r="C576" s="12" t="str">
        <f>"202205292004"</f>
        <v>202205292004</v>
      </c>
      <c r="D576" s="14">
        <v>89.2</v>
      </c>
      <c r="E576" s="14">
        <v>55</v>
      </c>
      <c r="F576" s="14">
        <f t="shared" si="16"/>
        <v>144.2</v>
      </c>
      <c r="G576" s="14">
        <f t="shared" si="17"/>
        <v>57.2333333333333</v>
      </c>
    </row>
    <row r="577" ht="18" customHeight="1" spans="1:7">
      <c r="A577" s="12">
        <v>575</v>
      </c>
      <c r="B577" s="12" t="s">
        <v>22</v>
      </c>
      <c r="C577" s="12" t="str">
        <f>"202205292005"</f>
        <v>202205292005</v>
      </c>
      <c r="D577" s="14">
        <v>60</v>
      </c>
      <c r="E577" s="14">
        <v>18</v>
      </c>
      <c r="F577" s="14">
        <f t="shared" si="16"/>
        <v>78</v>
      </c>
      <c r="G577" s="14">
        <f t="shared" si="17"/>
        <v>29</v>
      </c>
    </row>
    <row r="578" ht="18" customHeight="1" spans="1:7">
      <c r="A578" s="12">
        <v>576</v>
      </c>
      <c r="B578" s="12" t="s">
        <v>22</v>
      </c>
      <c r="C578" s="12" t="str">
        <f>"202205292006"</f>
        <v>202205292006</v>
      </c>
      <c r="D578" s="14">
        <v>53.6</v>
      </c>
      <c r="E578" s="14">
        <v>40</v>
      </c>
      <c r="F578" s="14">
        <f t="shared" si="16"/>
        <v>93.6</v>
      </c>
      <c r="G578" s="14">
        <f t="shared" si="17"/>
        <v>37.8666666666667</v>
      </c>
    </row>
    <row r="579" ht="18" customHeight="1" spans="1:7">
      <c r="A579" s="12">
        <v>577</v>
      </c>
      <c r="B579" s="12" t="s">
        <v>22</v>
      </c>
      <c r="C579" s="12" t="str">
        <f>"202205292007"</f>
        <v>202205292007</v>
      </c>
      <c r="D579" s="14">
        <v>41.6</v>
      </c>
      <c r="E579" s="14">
        <v>25</v>
      </c>
      <c r="F579" s="14">
        <f t="shared" si="16"/>
        <v>66.6</v>
      </c>
      <c r="G579" s="14">
        <f t="shared" si="17"/>
        <v>26.3666666666667</v>
      </c>
    </row>
    <row r="580" ht="18" customHeight="1" spans="1:7">
      <c r="A580" s="12">
        <v>578</v>
      </c>
      <c r="B580" s="12" t="s">
        <v>22</v>
      </c>
      <c r="C580" s="12" t="str">
        <f>"202205292008"</f>
        <v>202205292008</v>
      </c>
      <c r="D580" s="14">
        <v>84.6</v>
      </c>
      <c r="E580" s="14">
        <v>45</v>
      </c>
      <c r="F580" s="14">
        <f t="shared" ref="F580:F643" si="18">D580+E580</f>
        <v>129.6</v>
      </c>
      <c r="G580" s="14">
        <f t="shared" ref="G580:G643" si="19">D580/1.2*0.4+E580/1.2*0.6</f>
        <v>50.7</v>
      </c>
    </row>
    <row r="581" ht="18" customHeight="1" spans="1:7">
      <c r="A581" s="12">
        <v>579</v>
      </c>
      <c r="B581" s="12" t="s">
        <v>22</v>
      </c>
      <c r="C581" s="12" t="str">
        <f>"202205292009"</f>
        <v>202205292009</v>
      </c>
      <c r="D581" s="14">
        <v>76.8</v>
      </c>
      <c r="E581" s="14">
        <v>73</v>
      </c>
      <c r="F581" s="14">
        <f t="shared" si="18"/>
        <v>149.8</v>
      </c>
      <c r="G581" s="14">
        <f t="shared" si="19"/>
        <v>62.1</v>
      </c>
    </row>
    <row r="582" ht="18" customHeight="1" spans="1:7">
      <c r="A582" s="12">
        <v>580</v>
      </c>
      <c r="B582" s="12" t="s">
        <v>22</v>
      </c>
      <c r="C582" s="12" t="str">
        <f>"202205292010"</f>
        <v>202205292010</v>
      </c>
      <c r="D582" s="14">
        <v>64.8</v>
      </c>
      <c r="E582" s="14">
        <v>73</v>
      </c>
      <c r="F582" s="14">
        <f t="shared" si="18"/>
        <v>137.8</v>
      </c>
      <c r="G582" s="14">
        <f t="shared" si="19"/>
        <v>58.1</v>
      </c>
    </row>
    <row r="583" ht="18" customHeight="1" spans="1:7">
      <c r="A583" s="12">
        <v>581</v>
      </c>
      <c r="B583" s="12" t="s">
        <v>22</v>
      </c>
      <c r="C583" s="12" t="str">
        <f>"202205292011"</f>
        <v>202205292011</v>
      </c>
      <c r="D583" s="14">
        <v>63</v>
      </c>
      <c r="E583" s="14">
        <v>45</v>
      </c>
      <c r="F583" s="14">
        <f t="shared" si="18"/>
        <v>108</v>
      </c>
      <c r="G583" s="14">
        <f t="shared" si="19"/>
        <v>43.5</v>
      </c>
    </row>
    <row r="584" ht="18" customHeight="1" spans="1:7">
      <c r="A584" s="12">
        <v>582</v>
      </c>
      <c r="B584" s="12" t="s">
        <v>22</v>
      </c>
      <c r="C584" s="12" t="str">
        <f>"202205292012"</f>
        <v>202205292012</v>
      </c>
      <c r="D584" s="14">
        <v>66.4</v>
      </c>
      <c r="E584" s="14">
        <v>55</v>
      </c>
      <c r="F584" s="14">
        <f t="shared" si="18"/>
        <v>121.4</v>
      </c>
      <c r="G584" s="14">
        <f t="shared" si="19"/>
        <v>49.6333333333333</v>
      </c>
    </row>
    <row r="585" ht="18" customHeight="1" spans="1:7">
      <c r="A585" s="12">
        <v>583</v>
      </c>
      <c r="B585" s="12" t="s">
        <v>22</v>
      </c>
      <c r="C585" s="12" t="str">
        <f>"202205292013"</f>
        <v>202205292013</v>
      </c>
      <c r="D585" s="14">
        <v>0</v>
      </c>
      <c r="E585" s="14">
        <v>0</v>
      </c>
      <c r="F585" s="14">
        <f t="shared" si="18"/>
        <v>0</v>
      </c>
      <c r="G585" s="14">
        <f t="shared" si="19"/>
        <v>0</v>
      </c>
    </row>
    <row r="586" ht="18" customHeight="1" spans="1:7">
      <c r="A586" s="12">
        <v>584</v>
      </c>
      <c r="B586" s="12" t="s">
        <v>22</v>
      </c>
      <c r="C586" s="12" t="str">
        <f>"202205292014"</f>
        <v>202205292014</v>
      </c>
      <c r="D586" s="14">
        <v>76.8</v>
      </c>
      <c r="E586" s="14">
        <v>54</v>
      </c>
      <c r="F586" s="14">
        <f t="shared" si="18"/>
        <v>130.8</v>
      </c>
      <c r="G586" s="14">
        <f t="shared" si="19"/>
        <v>52.6</v>
      </c>
    </row>
    <row r="587" ht="18" customHeight="1" spans="1:7">
      <c r="A587" s="12">
        <v>585</v>
      </c>
      <c r="B587" s="12" t="s">
        <v>22</v>
      </c>
      <c r="C587" s="12" t="str">
        <f>"202205292015"</f>
        <v>202205292015</v>
      </c>
      <c r="D587" s="14">
        <v>60.8</v>
      </c>
      <c r="E587" s="14">
        <v>35</v>
      </c>
      <c r="F587" s="14">
        <f t="shared" si="18"/>
        <v>95.8</v>
      </c>
      <c r="G587" s="14">
        <f t="shared" si="19"/>
        <v>37.7666666666667</v>
      </c>
    </row>
    <row r="588" ht="18" customHeight="1" spans="1:7">
      <c r="A588" s="12">
        <v>586</v>
      </c>
      <c r="B588" s="12" t="s">
        <v>22</v>
      </c>
      <c r="C588" s="12" t="str">
        <f>"202205292016"</f>
        <v>202205292016</v>
      </c>
      <c r="D588" s="14">
        <v>63.8</v>
      </c>
      <c r="E588" s="14">
        <v>30</v>
      </c>
      <c r="F588" s="14">
        <f t="shared" si="18"/>
        <v>93.8</v>
      </c>
      <c r="G588" s="14">
        <f t="shared" si="19"/>
        <v>36.2666666666667</v>
      </c>
    </row>
    <row r="589" ht="18" customHeight="1" spans="1:7">
      <c r="A589" s="12">
        <v>587</v>
      </c>
      <c r="B589" s="12" t="s">
        <v>22</v>
      </c>
      <c r="C589" s="12" t="str">
        <f>"202205292017"</f>
        <v>202205292017</v>
      </c>
      <c r="D589" s="14">
        <v>0</v>
      </c>
      <c r="E589" s="14">
        <v>0</v>
      </c>
      <c r="F589" s="14">
        <f t="shared" si="18"/>
        <v>0</v>
      </c>
      <c r="G589" s="14">
        <f t="shared" si="19"/>
        <v>0</v>
      </c>
    </row>
    <row r="590" ht="18" customHeight="1" spans="1:7">
      <c r="A590" s="12">
        <v>588</v>
      </c>
      <c r="B590" s="12" t="s">
        <v>22</v>
      </c>
      <c r="C590" s="12" t="str">
        <f>"202205292018"</f>
        <v>202205292018</v>
      </c>
      <c r="D590" s="14">
        <v>84.6</v>
      </c>
      <c r="E590" s="14">
        <v>52</v>
      </c>
      <c r="F590" s="14">
        <f t="shared" si="18"/>
        <v>136.6</v>
      </c>
      <c r="G590" s="14">
        <f t="shared" si="19"/>
        <v>54.2</v>
      </c>
    </row>
    <row r="591" ht="18" customHeight="1" spans="1:7">
      <c r="A591" s="12">
        <v>589</v>
      </c>
      <c r="B591" s="12" t="s">
        <v>22</v>
      </c>
      <c r="C591" s="12" t="str">
        <f>"202205292019"</f>
        <v>202205292019</v>
      </c>
      <c r="D591" s="14">
        <v>0</v>
      </c>
      <c r="E591" s="14">
        <v>0</v>
      </c>
      <c r="F591" s="14">
        <f t="shared" si="18"/>
        <v>0</v>
      </c>
      <c r="G591" s="14">
        <f t="shared" si="19"/>
        <v>0</v>
      </c>
    </row>
    <row r="592" ht="18" customHeight="1" spans="1:7">
      <c r="A592" s="12">
        <v>590</v>
      </c>
      <c r="B592" s="12" t="s">
        <v>22</v>
      </c>
      <c r="C592" s="12" t="str">
        <f>"202205292020"</f>
        <v>202205292020</v>
      </c>
      <c r="D592" s="14">
        <v>73.2</v>
      </c>
      <c r="E592" s="14">
        <v>22</v>
      </c>
      <c r="F592" s="14">
        <f t="shared" si="18"/>
        <v>95.2</v>
      </c>
      <c r="G592" s="14">
        <f t="shared" si="19"/>
        <v>35.4</v>
      </c>
    </row>
    <row r="593" ht="18" customHeight="1" spans="1:7">
      <c r="A593" s="12">
        <v>591</v>
      </c>
      <c r="B593" s="12" t="s">
        <v>22</v>
      </c>
      <c r="C593" s="12" t="str">
        <f>"202205292021"</f>
        <v>202205292021</v>
      </c>
      <c r="D593" s="14">
        <v>68.6</v>
      </c>
      <c r="E593" s="14">
        <v>49</v>
      </c>
      <c r="F593" s="14">
        <f t="shared" si="18"/>
        <v>117.6</v>
      </c>
      <c r="G593" s="14">
        <f t="shared" si="19"/>
        <v>47.3666666666667</v>
      </c>
    </row>
    <row r="594" ht="18" customHeight="1" spans="1:7">
      <c r="A594" s="12">
        <v>592</v>
      </c>
      <c r="B594" s="12" t="s">
        <v>22</v>
      </c>
      <c r="C594" s="12" t="str">
        <f>"202205292022"</f>
        <v>202205292022</v>
      </c>
      <c r="D594" s="14">
        <v>80.4</v>
      </c>
      <c r="E594" s="14">
        <v>42</v>
      </c>
      <c r="F594" s="14">
        <f t="shared" si="18"/>
        <v>122.4</v>
      </c>
      <c r="G594" s="14">
        <f t="shared" si="19"/>
        <v>47.8</v>
      </c>
    </row>
    <row r="595" ht="18" customHeight="1" spans="1:7">
      <c r="A595" s="12">
        <v>593</v>
      </c>
      <c r="B595" s="12" t="s">
        <v>22</v>
      </c>
      <c r="C595" s="12" t="str">
        <f>"202205292023"</f>
        <v>202205292023</v>
      </c>
      <c r="D595" s="14">
        <v>74</v>
      </c>
      <c r="E595" s="14">
        <v>24</v>
      </c>
      <c r="F595" s="14">
        <f t="shared" si="18"/>
        <v>98</v>
      </c>
      <c r="G595" s="14">
        <f t="shared" si="19"/>
        <v>36.6666666666667</v>
      </c>
    </row>
    <row r="596" ht="18" customHeight="1" spans="1:7">
      <c r="A596" s="12">
        <v>594</v>
      </c>
      <c r="B596" s="12" t="s">
        <v>22</v>
      </c>
      <c r="C596" s="12" t="str">
        <f>"202205292024"</f>
        <v>202205292024</v>
      </c>
      <c r="D596" s="14">
        <v>70.8</v>
      </c>
      <c r="E596" s="14">
        <v>64</v>
      </c>
      <c r="F596" s="14">
        <f t="shared" si="18"/>
        <v>134.8</v>
      </c>
      <c r="G596" s="14">
        <f t="shared" si="19"/>
        <v>55.6</v>
      </c>
    </row>
    <row r="597" ht="18" customHeight="1" spans="1:7">
      <c r="A597" s="12">
        <v>595</v>
      </c>
      <c r="B597" s="12" t="s">
        <v>22</v>
      </c>
      <c r="C597" s="12" t="str">
        <f>"202205292025"</f>
        <v>202205292025</v>
      </c>
      <c r="D597" s="14">
        <v>0</v>
      </c>
      <c r="E597" s="14">
        <v>0</v>
      </c>
      <c r="F597" s="14">
        <f t="shared" si="18"/>
        <v>0</v>
      </c>
      <c r="G597" s="14">
        <f t="shared" si="19"/>
        <v>0</v>
      </c>
    </row>
    <row r="598" ht="18" customHeight="1" spans="1:7">
      <c r="A598" s="12">
        <v>596</v>
      </c>
      <c r="B598" s="12" t="s">
        <v>22</v>
      </c>
      <c r="C598" s="12" t="str">
        <f>"202205292026"</f>
        <v>202205292026</v>
      </c>
      <c r="D598" s="14">
        <v>0</v>
      </c>
      <c r="E598" s="14">
        <v>0</v>
      </c>
      <c r="F598" s="14">
        <f t="shared" si="18"/>
        <v>0</v>
      </c>
      <c r="G598" s="14">
        <f t="shared" si="19"/>
        <v>0</v>
      </c>
    </row>
    <row r="599" ht="18" customHeight="1" spans="1:7">
      <c r="A599" s="12">
        <v>597</v>
      </c>
      <c r="B599" s="12" t="s">
        <v>22</v>
      </c>
      <c r="C599" s="12" t="str">
        <f>"202205292027"</f>
        <v>202205292027</v>
      </c>
      <c r="D599" s="14">
        <v>0</v>
      </c>
      <c r="E599" s="14">
        <v>0</v>
      </c>
      <c r="F599" s="14">
        <f t="shared" si="18"/>
        <v>0</v>
      </c>
      <c r="G599" s="14">
        <f t="shared" si="19"/>
        <v>0</v>
      </c>
    </row>
    <row r="600" ht="18" customHeight="1" spans="1:7">
      <c r="A600" s="12">
        <v>598</v>
      </c>
      <c r="B600" s="12" t="s">
        <v>22</v>
      </c>
      <c r="C600" s="12" t="str">
        <f>"202205292028"</f>
        <v>202205292028</v>
      </c>
      <c r="D600" s="14">
        <v>0</v>
      </c>
      <c r="E600" s="14">
        <v>0</v>
      </c>
      <c r="F600" s="14">
        <f t="shared" si="18"/>
        <v>0</v>
      </c>
      <c r="G600" s="14">
        <f t="shared" si="19"/>
        <v>0</v>
      </c>
    </row>
    <row r="601" ht="18" customHeight="1" spans="1:7">
      <c r="A601" s="12">
        <v>599</v>
      </c>
      <c r="B601" s="12" t="s">
        <v>22</v>
      </c>
      <c r="C601" s="12" t="str">
        <f>"202205292029"</f>
        <v>202205292029</v>
      </c>
      <c r="D601" s="14">
        <v>0</v>
      </c>
      <c r="E601" s="14">
        <v>0</v>
      </c>
      <c r="F601" s="14">
        <f t="shared" si="18"/>
        <v>0</v>
      </c>
      <c r="G601" s="14">
        <f t="shared" si="19"/>
        <v>0</v>
      </c>
    </row>
    <row r="602" ht="18" customHeight="1" spans="1:7">
      <c r="A602" s="12">
        <v>600</v>
      </c>
      <c r="B602" s="12" t="s">
        <v>22</v>
      </c>
      <c r="C602" s="12" t="str">
        <f>"202205292030"</f>
        <v>202205292030</v>
      </c>
      <c r="D602" s="14">
        <v>73.8</v>
      </c>
      <c r="E602" s="14">
        <v>68</v>
      </c>
      <c r="F602" s="14">
        <f t="shared" si="18"/>
        <v>141.8</v>
      </c>
      <c r="G602" s="14">
        <f t="shared" si="19"/>
        <v>58.6</v>
      </c>
    </row>
    <row r="603" ht="18" customHeight="1" spans="1:7">
      <c r="A603" s="12">
        <v>601</v>
      </c>
      <c r="B603" s="12" t="s">
        <v>22</v>
      </c>
      <c r="C603" s="12" t="str">
        <f>"202205292101"</f>
        <v>202205292101</v>
      </c>
      <c r="D603" s="14">
        <v>0</v>
      </c>
      <c r="E603" s="14">
        <v>0</v>
      </c>
      <c r="F603" s="14">
        <f t="shared" si="18"/>
        <v>0</v>
      </c>
      <c r="G603" s="14">
        <f t="shared" si="19"/>
        <v>0</v>
      </c>
    </row>
    <row r="604" ht="18" customHeight="1" spans="1:7">
      <c r="A604" s="12">
        <v>602</v>
      </c>
      <c r="B604" s="12" t="s">
        <v>22</v>
      </c>
      <c r="C604" s="12" t="str">
        <f>"202205292102"</f>
        <v>202205292102</v>
      </c>
      <c r="D604" s="14">
        <v>0</v>
      </c>
      <c r="E604" s="14">
        <v>0</v>
      </c>
      <c r="F604" s="14">
        <f t="shared" si="18"/>
        <v>0</v>
      </c>
      <c r="G604" s="14">
        <f t="shared" si="19"/>
        <v>0</v>
      </c>
    </row>
    <row r="605" ht="18" customHeight="1" spans="1:7">
      <c r="A605" s="12">
        <v>603</v>
      </c>
      <c r="B605" s="12" t="s">
        <v>22</v>
      </c>
      <c r="C605" s="12" t="str">
        <f>"202205292103"</f>
        <v>202205292103</v>
      </c>
      <c r="D605" s="14">
        <v>72</v>
      </c>
      <c r="E605" s="14">
        <v>11</v>
      </c>
      <c r="F605" s="14">
        <f t="shared" si="18"/>
        <v>83</v>
      </c>
      <c r="G605" s="14">
        <f t="shared" si="19"/>
        <v>29.5</v>
      </c>
    </row>
    <row r="606" ht="18" customHeight="1" spans="1:7">
      <c r="A606" s="12">
        <v>604</v>
      </c>
      <c r="B606" s="12" t="s">
        <v>22</v>
      </c>
      <c r="C606" s="12" t="str">
        <f>"202205292104"</f>
        <v>202205292104</v>
      </c>
      <c r="D606" s="14">
        <v>69</v>
      </c>
      <c r="E606" s="14">
        <v>15</v>
      </c>
      <c r="F606" s="14">
        <f t="shared" si="18"/>
        <v>84</v>
      </c>
      <c r="G606" s="14">
        <f t="shared" si="19"/>
        <v>30.5</v>
      </c>
    </row>
    <row r="607" ht="18" customHeight="1" spans="1:7">
      <c r="A607" s="12">
        <v>605</v>
      </c>
      <c r="B607" s="12" t="s">
        <v>22</v>
      </c>
      <c r="C607" s="12" t="str">
        <f>"202205292105"</f>
        <v>202205292105</v>
      </c>
      <c r="D607" s="14">
        <v>0</v>
      </c>
      <c r="E607" s="14">
        <v>0</v>
      </c>
      <c r="F607" s="14">
        <f t="shared" si="18"/>
        <v>0</v>
      </c>
      <c r="G607" s="14">
        <f t="shared" si="19"/>
        <v>0</v>
      </c>
    </row>
    <row r="608" ht="18" customHeight="1" spans="1:7">
      <c r="A608" s="12">
        <v>606</v>
      </c>
      <c r="B608" s="12" t="s">
        <v>22</v>
      </c>
      <c r="C608" s="12" t="str">
        <f>"202205292106"</f>
        <v>202205292106</v>
      </c>
      <c r="D608" s="14">
        <v>71</v>
      </c>
      <c r="E608" s="14">
        <v>24</v>
      </c>
      <c r="F608" s="14">
        <f t="shared" si="18"/>
        <v>95</v>
      </c>
      <c r="G608" s="14">
        <f t="shared" si="19"/>
        <v>35.6666666666667</v>
      </c>
    </row>
    <row r="609" ht="18" customHeight="1" spans="1:7">
      <c r="A609" s="12">
        <v>607</v>
      </c>
      <c r="B609" s="12" t="s">
        <v>22</v>
      </c>
      <c r="C609" s="12" t="str">
        <f>"202205292107"</f>
        <v>202205292107</v>
      </c>
      <c r="D609" s="14">
        <v>86.6</v>
      </c>
      <c r="E609" s="14">
        <v>71</v>
      </c>
      <c r="F609" s="14">
        <f t="shared" si="18"/>
        <v>157.6</v>
      </c>
      <c r="G609" s="14">
        <f t="shared" si="19"/>
        <v>64.3666666666667</v>
      </c>
    </row>
    <row r="610" ht="18" customHeight="1" spans="1:7">
      <c r="A610" s="12">
        <v>608</v>
      </c>
      <c r="B610" s="12" t="s">
        <v>22</v>
      </c>
      <c r="C610" s="12" t="str">
        <f>"202205292108"</f>
        <v>202205292108</v>
      </c>
      <c r="D610" s="14">
        <v>84.8</v>
      </c>
      <c r="E610" s="14">
        <v>76</v>
      </c>
      <c r="F610" s="14">
        <f t="shared" si="18"/>
        <v>160.8</v>
      </c>
      <c r="G610" s="14">
        <f t="shared" si="19"/>
        <v>66.2666666666667</v>
      </c>
    </row>
    <row r="611" ht="18" customHeight="1" spans="1:7">
      <c r="A611" s="12">
        <v>609</v>
      </c>
      <c r="B611" s="12" t="s">
        <v>22</v>
      </c>
      <c r="C611" s="12" t="str">
        <f>"202205292109"</f>
        <v>202205292109</v>
      </c>
      <c r="D611" s="14">
        <v>74.8</v>
      </c>
      <c r="E611" s="14">
        <v>45</v>
      </c>
      <c r="F611" s="14">
        <f t="shared" si="18"/>
        <v>119.8</v>
      </c>
      <c r="G611" s="14">
        <f t="shared" si="19"/>
        <v>47.4333333333333</v>
      </c>
    </row>
    <row r="612" ht="18" customHeight="1" spans="1:7">
      <c r="A612" s="12">
        <v>610</v>
      </c>
      <c r="B612" s="12" t="s">
        <v>22</v>
      </c>
      <c r="C612" s="12" t="str">
        <f>"202205292110"</f>
        <v>202205292110</v>
      </c>
      <c r="D612" s="14">
        <v>60.6</v>
      </c>
      <c r="E612" s="14">
        <v>35</v>
      </c>
      <c r="F612" s="14">
        <f t="shared" si="18"/>
        <v>95.6</v>
      </c>
      <c r="G612" s="14">
        <f t="shared" si="19"/>
        <v>37.7</v>
      </c>
    </row>
    <row r="613" ht="18" customHeight="1" spans="1:7">
      <c r="A613" s="12">
        <v>611</v>
      </c>
      <c r="B613" s="12" t="s">
        <v>22</v>
      </c>
      <c r="C613" s="12" t="str">
        <f>"202205292111"</f>
        <v>202205292111</v>
      </c>
      <c r="D613" s="14">
        <v>85.8</v>
      </c>
      <c r="E613" s="14">
        <v>45</v>
      </c>
      <c r="F613" s="14">
        <f t="shared" si="18"/>
        <v>130.8</v>
      </c>
      <c r="G613" s="14">
        <f t="shared" si="19"/>
        <v>51.1</v>
      </c>
    </row>
    <row r="614" ht="18" customHeight="1" spans="1:7">
      <c r="A614" s="12">
        <v>612</v>
      </c>
      <c r="B614" s="12" t="s">
        <v>22</v>
      </c>
      <c r="C614" s="12" t="str">
        <f>"202205292112"</f>
        <v>202205292112</v>
      </c>
      <c r="D614" s="14">
        <v>62.6</v>
      </c>
      <c r="E614" s="14">
        <v>23</v>
      </c>
      <c r="F614" s="14">
        <f t="shared" si="18"/>
        <v>85.6</v>
      </c>
      <c r="G614" s="14">
        <f t="shared" si="19"/>
        <v>32.3666666666667</v>
      </c>
    </row>
    <row r="615" ht="18" customHeight="1" spans="1:7">
      <c r="A615" s="12">
        <v>613</v>
      </c>
      <c r="B615" s="12" t="s">
        <v>22</v>
      </c>
      <c r="C615" s="12" t="str">
        <f>"202205292113"</f>
        <v>202205292113</v>
      </c>
      <c r="D615" s="14">
        <v>74</v>
      </c>
      <c r="E615" s="14">
        <v>75</v>
      </c>
      <c r="F615" s="14">
        <f t="shared" si="18"/>
        <v>149</v>
      </c>
      <c r="G615" s="14">
        <f t="shared" si="19"/>
        <v>62.1666666666667</v>
      </c>
    </row>
    <row r="616" ht="18" customHeight="1" spans="1:7">
      <c r="A616" s="12">
        <v>614</v>
      </c>
      <c r="B616" s="12" t="s">
        <v>22</v>
      </c>
      <c r="C616" s="12" t="str">
        <f>"202205292114"</f>
        <v>202205292114</v>
      </c>
      <c r="D616" s="14">
        <v>67.4</v>
      </c>
      <c r="E616" s="14">
        <v>7</v>
      </c>
      <c r="F616" s="14">
        <f t="shared" si="18"/>
        <v>74.4</v>
      </c>
      <c r="G616" s="14">
        <f t="shared" si="19"/>
        <v>25.9666666666667</v>
      </c>
    </row>
    <row r="617" ht="18" customHeight="1" spans="1:7">
      <c r="A617" s="12">
        <v>615</v>
      </c>
      <c r="B617" s="12" t="s">
        <v>22</v>
      </c>
      <c r="C617" s="12" t="str">
        <f>"202205292115"</f>
        <v>202205292115</v>
      </c>
      <c r="D617" s="14">
        <v>0</v>
      </c>
      <c r="E617" s="14">
        <v>0</v>
      </c>
      <c r="F617" s="14">
        <f t="shared" si="18"/>
        <v>0</v>
      </c>
      <c r="G617" s="14">
        <f t="shared" si="19"/>
        <v>0</v>
      </c>
    </row>
    <row r="618" ht="18" customHeight="1" spans="1:7">
      <c r="A618" s="12">
        <v>616</v>
      </c>
      <c r="B618" s="12" t="s">
        <v>22</v>
      </c>
      <c r="C618" s="12" t="str">
        <f>"202205292116"</f>
        <v>202205292116</v>
      </c>
      <c r="D618" s="14">
        <v>0</v>
      </c>
      <c r="E618" s="14">
        <v>0</v>
      </c>
      <c r="F618" s="14">
        <f t="shared" si="18"/>
        <v>0</v>
      </c>
      <c r="G618" s="14">
        <f t="shared" si="19"/>
        <v>0</v>
      </c>
    </row>
    <row r="619" ht="18" customHeight="1" spans="1:7">
      <c r="A619" s="12">
        <v>617</v>
      </c>
      <c r="B619" s="12" t="s">
        <v>22</v>
      </c>
      <c r="C619" s="12" t="str">
        <f>"202205292117"</f>
        <v>202205292117</v>
      </c>
      <c r="D619" s="14">
        <v>78.6</v>
      </c>
      <c r="E619" s="14">
        <v>88</v>
      </c>
      <c r="F619" s="14">
        <f t="shared" si="18"/>
        <v>166.6</v>
      </c>
      <c r="G619" s="14">
        <f t="shared" si="19"/>
        <v>70.2</v>
      </c>
    </row>
    <row r="620" ht="18" customHeight="1" spans="1:7">
      <c r="A620" s="12">
        <v>618</v>
      </c>
      <c r="B620" s="12" t="s">
        <v>22</v>
      </c>
      <c r="C620" s="12" t="str">
        <f>"202205292118"</f>
        <v>202205292118</v>
      </c>
      <c r="D620" s="14">
        <v>71.4</v>
      </c>
      <c r="E620" s="14">
        <v>27</v>
      </c>
      <c r="F620" s="14">
        <f t="shared" si="18"/>
        <v>98.4</v>
      </c>
      <c r="G620" s="14">
        <f t="shared" si="19"/>
        <v>37.3</v>
      </c>
    </row>
    <row r="621" ht="18" customHeight="1" spans="1:7">
      <c r="A621" s="12">
        <v>619</v>
      </c>
      <c r="B621" s="12" t="s">
        <v>22</v>
      </c>
      <c r="C621" s="12" t="str">
        <f>"202205292119"</f>
        <v>202205292119</v>
      </c>
      <c r="D621" s="14">
        <v>75.8</v>
      </c>
      <c r="E621" s="14">
        <v>47</v>
      </c>
      <c r="F621" s="14">
        <f t="shared" si="18"/>
        <v>122.8</v>
      </c>
      <c r="G621" s="14">
        <f t="shared" si="19"/>
        <v>48.7666666666667</v>
      </c>
    </row>
    <row r="622" ht="18" customHeight="1" spans="1:7">
      <c r="A622" s="12">
        <v>620</v>
      </c>
      <c r="B622" s="12" t="s">
        <v>22</v>
      </c>
      <c r="C622" s="12" t="str">
        <f>"202205292120"</f>
        <v>202205292120</v>
      </c>
      <c r="D622" s="14">
        <v>70.4</v>
      </c>
      <c r="E622" s="14">
        <v>44</v>
      </c>
      <c r="F622" s="14">
        <f t="shared" si="18"/>
        <v>114.4</v>
      </c>
      <c r="G622" s="14">
        <f t="shared" si="19"/>
        <v>45.4666666666667</v>
      </c>
    </row>
    <row r="623" ht="18" customHeight="1" spans="1:7">
      <c r="A623" s="12">
        <v>621</v>
      </c>
      <c r="B623" s="12" t="s">
        <v>22</v>
      </c>
      <c r="C623" s="12" t="str">
        <f>"202205292121"</f>
        <v>202205292121</v>
      </c>
      <c r="D623" s="14">
        <v>79.6</v>
      </c>
      <c r="E623" s="14">
        <v>45</v>
      </c>
      <c r="F623" s="14">
        <f t="shared" si="18"/>
        <v>124.6</v>
      </c>
      <c r="G623" s="14">
        <f t="shared" si="19"/>
        <v>49.0333333333333</v>
      </c>
    </row>
    <row r="624" ht="18" customHeight="1" spans="1:7">
      <c r="A624" s="12">
        <v>622</v>
      </c>
      <c r="B624" s="12" t="s">
        <v>22</v>
      </c>
      <c r="C624" s="12" t="str">
        <f>"202205292122"</f>
        <v>202205292122</v>
      </c>
      <c r="D624" s="14">
        <v>73.2</v>
      </c>
      <c r="E624" s="14">
        <v>39</v>
      </c>
      <c r="F624" s="14">
        <f t="shared" si="18"/>
        <v>112.2</v>
      </c>
      <c r="G624" s="14">
        <f t="shared" si="19"/>
        <v>43.9</v>
      </c>
    </row>
    <row r="625" ht="18" customHeight="1" spans="1:7">
      <c r="A625" s="12">
        <v>623</v>
      </c>
      <c r="B625" s="12" t="s">
        <v>22</v>
      </c>
      <c r="C625" s="12" t="str">
        <f>"202205292123"</f>
        <v>202205292123</v>
      </c>
      <c r="D625" s="14">
        <v>0</v>
      </c>
      <c r="E625" s="14">
        <v>0</v>
      </c>
      <c r="F625" s="14">
        <f t="shared" si="18"/>
        <v>0</v>
      </c>
      <c r="G625" s="14">
        <f t="shared" si="19"/>
        <v>0</v>
      </c>
    </row>
    <row r="626" ht="18" customHeight="1" spans="1:7">
      <c r="A626" s="12">
        <v>624</v>
      </c>
      <c r="B626" s="12" t="s">
        <v>22</v>
      </c>
      <c r="C626" s="12" t="str">
        <f>"202205292124"</f>
        <v>202205292124</v>
      </c>
      <c r="D626" s="14">
        <v>78</v>
      </c>
      <c r="E626" s="14">
        <v>45</v>
      </c>
      <c r="F626" s="14">
        <f t="shared" si="18"/>
        <v>123</v>
      </c>
      <c r="G626" s="14">
        <f t="shared" si="19"/>
        <v>48.5</v>
      </c>
    </row>
    <row r="627" ht="18" customHeight="1" spans="1:7">
      <c r="A627" s="12">
        <v>625</v>
      </c>
      <c r="B627" s="12" t="s">
        <v>22</v>
      </c>
      <c r="C627" s="12" t="str">
        <f>"202205292125"</f>
        <v>202205292125</v>
      </c>
      <c r="D627" s="14">
        <v>71</v>
      </c>
      <c r="E627" s="14">
        <v>35</v>
      </c>
      <c r="F627" s="14">
        <f t="shared" si="18"/>
        <v>106</v>
      </c>
      <c r="G627" s="14">
        <f t="shared" si="19"/>
        <v>41.1666666666667</v>
      </c>
    </row>
    <row r="628" ht="18" customHeight="1" spans="1:7">
      <c r="A628" s="12">
        <v>626</v>
      </c>
      <c r="B628" s="12" t="s">
        <v>22</v>
      </c>
      <c r="C628" s="12" t="str">
        <f>"202205292126"</f>
        <v>202205292126</v>
      </c>
      <c r="D628" s="14">
        <v>0</v>
      </c>
      <c r="E628" s="14">
        <v>0</v>
      </c>
      <c r="F628" s="14">
        <f t="shared" si="18"/>
        <v>0</v>
      </c>
      <c r="G628" s="14">
        <f t="shared" si="19"/>
        <v>0</v>
      </c>
    </row>
    <row r="629" ht="18" customHeight="1" spans="1:7">
      <c r="A629" s="12">
        <v>627</v>
      </c>
      <c r="B629" s="12" t="s">
        <v>22</v>
      </c>
      <c r="C629" s="12" t="str">
        <f>"202205292127"</f>
        <v>202205292127</v>
      </c>
      <c r="D629" s="14">
        <v>0</v>
      </c>
      <c r="E629" s="14">
        <v>0</v>
      </c>
      <c r="F629" s="14">
        <f t="shared" si="18"/>
        <v>0</v>
      </c>
      <c r="G629" s="14">
        <f t="shared" si="19"/>
        <v>0</v>
      </c>
    </row>
    <row r="630" ht="18" customHeight="1" spans="1:7">
      <c r="A630" s="12">
        <v>628</v>
      </c>
      <c r="B630" s="12" t="s">
        <v>22</v>
      </c>
      <c r="C630" s="12" t="str">
        <f>"202205292128"</f>
        <v>202205292128</v>
      </c>
      <c r="D630" s="14">
        <v>72.4</v>
      </c>
      <c r="E630" s="14">
        <v>47</v>
      </c>
      <c r="F630" s="14">
        <f t="shared" si="18"/>
        <v>119.4</v>
      </c>
      <c r="G630" s="14">
        <f t="shared" si="19"/>
        <v>47.6333333333333</v>
      </c>
    </row>
    <row r="631" ht="18" customHeight="1" spans="1:7">
      <c r="A631" s="12">
        <v>629</v>
      </c>
      <c r="B631" s="12" t="s">
        <v>22</v>
      </c>
      <c r="C631" s="12" t="str">
        <f>"202205292129"</f>
        <v>202205292129</v>
      </c>
      <c r="D631" s="14">
        <v>72.6</v>
      </c>
      <c r="E631" s="14">
        <v>41</v>
      </c>
      <c r="F631" s="14">
        <f t="shared" si="18"/>
        <v>113.6</v>
      </c>
      <c r="G631" s="14">
        <f t="shared" si="19"/>
        <v>44.7</v>
      </c>
    </row>
    <row r="632" ht="18" customHeight="1" spans="1:7">
      <c r="A632" s="12">
        <v>630</v>
      </c>
      <c r="B632" s="12" t="s">
        <v>22</v>
      </c>
      <c r="C632" s="12" t="str">
        <f>"202205292130"</f>
        <v>202205292130</v>
      </c>
      <c r="D632" s="14">
        <v>0</v>
      </c>
      <c r="E632" s="14">
        <v>0</v>
      </c>
      <c r="F632" s="14">
        <f t="shared" si="18"/>
        <v>0</v>
      </c>
      <c r="G632" s="14">
        <f t="shared" si="19"/>
        <v>0</v>
      </c>
    </row>
    <row r="633" ht="18" customHeight="1" spans="1:7">
      <c r="A633" s="12">
        <v>631</v>
      </c>
      <c r="B633" s="12" t="s">
        <v>22</v>
      </c>
      <c r="C633" s="12" t="str">
        <f>"202205292201"</f>
        <v>202205292201</v>
      </c>
      <c r="D633" s="14">
        <v>68.4</v>
      </c>
      <c r="E633" s="14">
        <v>7</v>
      </c>
      <c r="F633" s="14">
        <f t="shared" si="18"/>
        <v>75.4</v>
      </c>
      <c r="G633" s="14">
        <f t="shared" si="19"/>
        <v>26.3</v>
      </c>
    </row>
    <row r="634" ht="18" customHeight="1" spans="1:7">
      <c r="A634" s="12">
        <v>632</v>
      </c>
      <c r="B634" s="12" t="s">
        <v>22</v>
      </c>
      <c r="C634" s="12" t="str">
        <f>"202205292202"</f>
        <v>202205292202</v>
      </c>
      <c r="D634" s="14">
        <v>73.8</v>
      </c>
      <c r="E634" s="14">
        <v>40</v>
      </c>
      <c r="F634" s="14">
        <f t="shared" si="18"/>
        <v>113.8</v>
      </c>
      <c r="G634" s="14">
        <f t="shared" si="19"/>
        <v>44.6</v>
      </c>
    </row>
    <row r="635" ht="18" customHeight="1" spans="1:7">
      <c r="A635" s="12">
        <v>633</v>
      </c>
      <c r="B635" s="12" t="s">
        <v>22</v>
      </c>
      <c r="C635" s="12" t="str">
        <f>"202205292203"</f>
        <v>202205292203</v>
      </c>
      <c r="D635" s="14">
        <v>0</v>
      </c>
      <c r="E635" s="14">
        <v>0</v>
      </c>
      <c r="F635" s="14">
        <f t="shared" si="18"/>
        <v>0</v>
      </c>
      <c r="G635" s="14">
        <f t="shared" si="19"/>
        <v>0</v>
      </c>
    </row>
    <row r="636" ht="18" customHeight="1" spans="1:7">
      <c r="A636" s="12">
        <v>634</v>
      </c>
      <c r="B636" s="12" t="s">
        <v>22</v>
      </c>
      <c r="C636" s="12" t="str">
        <f>"202205292204"</f>
        <v>202205292204</v>
      </c>
      <c r="D636" s="14">
        <v>0</v>
      </c>
      <c r="E636" s="14">
        <v>0</v>
      </c>
      <c r="F636" s="14">
        <f t="shared" si="18"/>
        <v>0</v>
      </c>
      <c r="G636" s="14">
        <f t="shared" si="19"/>
        <v>0</v>
      </c>
    </row>
    <row r="637" ht="18" customHeight="1" spans="1:7">
      <c r="A637" s="12">
        <v>635</v>
      </c>
      <c r="B637" s="12" t="s">
        <v>22</v>
      </c>
      <c r="C637" s="12" t="str">
        <f>"202205292205"</f>
        <v>202205292205</v>
      </c>
      <c r="D637" s="14">
        <v>69.6</v>
      </c>
      <c r="E637" s="14">
        <v>7</v>
      </c>
      <c r="F637" s="14">
        <f t="shared" si="18"/>
        <v>76.6</v>
      </c>
      <c r="G637" s="14">
        <f t="shared" si="19"/>
        <v>26.7</v>
      </c>
    </row>
    <row r="638" ht="18" customHeight="1" spans="1:7">
      <c r="A638" s="12">
        <v>636</v>
      </c>
      <c r="B638" s="12" t="s">
        <v>22</v>
      </c>
      <c r="C638" s="12" t="str">
        <f>"202205292206"</f>
        <v>202205292206</v>
      </c>
      <c r="D638" s="14">
        <v>0</v>
      </c>
      <c r="E638" s="14">
        <v>0</v>
      </c>
      <c r="F638" s="14">
        <f t="shared" si="18"/>
        <v>0</v>
      </c>
      <c r="G638" s="14">
        <f t="shared" si="19"/>
        <v>0</v>
      </c>
    </row>
    <row r="639" ht="18" customHeight="1" spans="1:7">
      <c r="A639" s="12">
        <v>637</v>
      </c>
      <c r="B639" s="12" t="s">
        <v>22</v>
      </c>
      <c r="C639" s="12" t="str">
        <f>"202205292207"</f>
        <v>202205292207</v>
      </c>
      <c r="D639" s="14">
        <v>74.8</v>
      </c>
      <c r="E639" s="14">
        <v>24</v>
      </c>
      <c r="F639" s="14">
        <f t="shared" si="18"/>
        <v>98.8</v>
      </c>
      <c r="G639" s="14">
        <f t="shared" si="19"/>
        <v>36.9333333333333</v>
      </c>
    </row>
    <row r="640" ht="18" customHeight="1" spans="1:7">
      <c r="A640" s="12">
        <v>638</v>
      </c>
      <c r="B640" s="12" t="s">
        <v>22</v>
      </c>
      <c r="C640" s="12" t="str">
        <f>"202205292208"</f>
        <v>202205292208</v>
      </c>
      <c r="D640" s="14">
        <v>74</v>
      </c>
      <c r="E640" s="14">
        <v>34</v>
      </c>
      <c r="F640" s="14">
        <f t="shared" si="18"/>
        <v>108</v>
      </c>
      <c r="G640" s="14">
        <f t="shared" si="19"/>
        <v>41.6666666666667</v>
      </c>
    </row>
    <row r="641" ht="18" customHeight="1" spans="1:7">
      <c r="A641" s="12">
        <v>639</v>
      </c>
      <c r="B641" s="12" t="s">
        <v>22</v>
      </c>
      <c r="C641" s="12" t="str">
        <f>"202205292209"</f>
        <v>202205292209</v>
      </c>
      <c r="D641" s="14">
        <v>74.4</v>
      </c>
      <c r="E641" s="14">
        <v>55</v>
      </c>
      <c r="F641" s="14">
        <f t="shared" si="18"/>
        <v>129.4</v>
      </c>
      <c r="G641" s="14">
        <f t="shared" si="19"/>
        <v>52.3</v>
      </c>
    </row>
    <row r="642" ht="18" customHeight="1" spans="1:7">
      <c r="A642" s="12">
        <v>640</v>
      </c>
      <c r="B642" s="12" t="s">
        <v>22</v>
      </c>
      <c r="C642" s="12" t="str">
        <f>"202205292210"</f>
        <v>202205292210</v>
      </c>
      <c r="D642" s="14">
        <v>66.4</v>
      </c>
      <c r="E642" s="14">
        <v>38</v>
      </c>
      <c r="F642" s="14">
        <f t="shared" si="18"/>
        <v>104.4</v>
      </c>
      <c r="G642" s="14">
        <f t="shared" si="19"/>
        <v>41.1333333333333</v>
      </c>
    </row>
    <row r="643" ht="18" customHeight="1" spans="1:7">
      <c r="A643" s="12">
        <v>641</v>
      </c>
      <c r="B643" s="12" t="s">
        <v>22</v>
      </c>
      <c r="C643" s="12" t="str">
        <f>"202205292211"</f>
        <v>202205292211</v>
      </c>
      <c r="D643" s="14">
        <v>79.6</v>
      </c>
      <c r="E643" s="14">
        <v>72</v>
      </c>
      <c r="F643" s="14">
        <f t="shared" si="18"/>
        <v>151.6</v>
      </c>
      <c r="G643" s="14">
        <f t="shared" si="19"/>
        <v>62.5333333333333</v>
      </c>
    </row>
    <row r="644" ht="18" customHeight="1" spans="1:7">
      <c r="A644" s="12">
        <v>642</v>
      </c>
      <c r="B644" s="12" t="s">
        <v>22</v>
      </c>
      <c r="C644" s="12" t="str">
        <f>"202205292212"</f>
        <v>202205292212</v>
      </c>
      <c r="D644" s="14">
        <v>85.8</v>
      </c>
      <c r="E644" s="14">
        <v>59</v>
      </c>
      <c r="F644" s="14">
        <f t="shared" ref="F644:F707" si="20">D644+E644</f>
        <v>144.8</v>
      </c>
      <c r="G644" s="14">
        <f t="shared" ref="G644:G707" si="21">D644/1.2*0.4+E644/1.2*0.6</f>
        <v>58.1</v>
      </c>
    </row>
    <row r="645" ht="18" customHeight="1" spans="1:7">
      <c r="A645" s="12">
        <v>643</v>
      </c>
      <c r="B645" s="12" t="s">
        <v>22</v>
      </c>
      <c r="C645" s="12" t="str">
        <f>"202205292213"</f>
        <v>202205292213</v>
      </c>
      <c r="D645" s="14">
        <v>39.6</v>
      </c>
      <c r="E645" s="14">
        <v>8</v>
      </c>
      <c r="F645" s="14">
        <f t="shared" si="20"/>
        <v>47.6</v>
      </c>
      <c r="G645" s="14">
        <f t="shared" si="21"/>
        <v>17.2</v>
      </c>
    </row>
    <row r="646" ht="18" customHeight="1" spans="1:7">
      <c r="A646" s="12">
        <v>644</v>
      </c>
      <c r="B646" s="12" t="s">
        <v>22</v>
      </c>
      <c r="C646" s="12" t="str">
        <f>"202205292214"</f>
        <v>202205292214</v>
      </c>
      <c r="D646" s="14">
        <v>77.8</v>
      </c>
      <c r="E646" s="14">
        <v>34</v>
      </c>
      <c r="F646" s="14">
        <f t="shared" si="20"/>
        <v>111.8</v>
      </c>
      <c r="G646" s="14">
        <f t="shared" si="21"/>
        <v>42.9333333333333</v>
      </c>
    </row>
    <row r="647" ht="18" customHeight="1" spans="1:7">
      <c r="A647" s="12">
        <v>645</v>
      </c>
      <c r="B647" s="12" t="s">
        <v>22</v>
      </c>
      <c r="C647" s="12" t="str">
        <f>"202205292215"</f>
        <v>202205292215</v>
      </c>
      <c r="D647" s="14">
        <v>0</v>
      </c>
      <c r="E647" s="14">
        <v>0</v>
      </c>
      <c r="F647" s="14">
        <f t="shared" si="20"/>
        <v>0</v>
      </c>
      <c r="G647" s="14">
        <f t="shared" si="21"/>
        <v>0</v>
      </c>
    </row>
    <row r="648" ht="18" customHeight="1" spans="1:7">
      <c r="A648" s="12">
        <v>646</v>
      </c>
      <c r="B648" s="12" t="s">
        <v>22</v>
      </c>
      <c r="C648" s="12" t="str">
        <f>"202205292216"</f>
        <v>202205292216</v>
      </c>
      <c r="D648" s="14">
        <v>0</v>
      </c>
      <c r="E648" s="14">
        <v>0</v>
      </c>
      <c r="F648" s="14">
        <f t="shared" si="20"/>
        <v>0</v>
      </c>
      <c r="G648" s="14">
        <f t="shared" si="21"/>
        <v>0</v>
      </c>
    </row>
    <row r="649" ht="18" customHeight="1" spans="1:7">
      <c r="A649" s="12">
        <v>647</v>
      </c>
      <c r="B649" s="12" t="s">
        <v>22</v>
      </c>
      <c r="C649" s="12" t="str">
        <f>"202205292217"</f>
        <v>202205292217</v>
      </c>
      <c r="D649" s="14">
        <v>75.6</v>
      </c>
      <c r="E649" s="14">
        <v>26</v>
      </c>
      <c r="F649" s="14">
        <f t="shared" si="20"/>
        <v>101.6</v>
      </c>
      <c r="G649" s="14">
        <f t="shared" si="21"/>
        <v>38.2</v>
      </c>
    </row>
    <row r="650" ht="18" customHeight="1" spans="1:7">
      <c r="A650" s="12">
        <v>648</v>
      </c>
      <c r="B650" s="12" t="s">
        <v>22</v>
      </c>
      <c r="C650" s="12" t="str">
        <f>"202205292218"</f>
        <v>202205292218</v>
      </c>
      <c r="D650" s="14">
        <v>72.8</v>
      </c>
      <c r="E650" s="14">
        <v>43</v>
      </c>
      <c r="F650" s="14">
        <f t="shared" si="20"/>
        <v>115.8</v>
      </c>
      <c r="G650" s="14">
        <f t="shared" si="21"/>
        <v>45.7666666666667</v>
      </c>
    </row>
    <row r="651" ht="18" customHeight="1" spans="1:7">
      <c r="A651" s="12">
        <v>649</v>
      </c>
      <c r="B651" s="12" t="s">
        <v>22</v>
      </c>
      <c r="C651" s="12" t="str">
        <f>"202205292219"</f>
        <v>202205292219</v>
      </c>
      <c r="D651" s="14">
        <v>71.6</v>
      </c>
      <c r="E651" s="14">
        <v>50</v>
      </c>
      <c r="F651" s="14">
        <f t="shared" si="20"/>
        <v>121.6</v>
      </c>
      <c r="G651" s="14">
        <f t="shared" si="21"/>
        <v>48.8666666666667</v>
      </c>
    </row>
    <row r="652" ht="18" customHeight="1" spans="1:7">
      <c r="A652" s="12">
        <v>650</v>
      </c>
      <c r="B652" s="12" t="s">
        <v>22</v>
      </c>
      <c r="C652" s="12" t="str">
        <f>"202205292220"</f>
        <v>202205292220</v>
      </c>
      <c r="D652" s="14">
        <v>57.6</v>
      </c>
      <c r="E652" s="14">
        <v>45</v>
      </c>
      <c r="F652" s="14">
        <f t="shared" si="20"/>
        <v>102.6</v>
      </c>
      <c r="G652" s="14">
        <f t="shared" si="21"/>
        <v>41.7</v>
      </c>
    </row>
    <row r="653" ht="18" customHeight="1" spans="1:7">
      <c r="A653" s="12">
        <v>651</v>
      </c>
      <c r="B653" s="12" t="s">
        <v>22</v>
      </c>
      <c r="C653" s="12" t="str">
        <f>"202205292221"</f>
        <v>202205292221</v>
      </c>
      <c r="D653" s="14">
        <v>77</v>
      </c>
      <c r="E653" s="14">
        <v>46</v>
      </c>
      <c r="F653" s="14">
        <f t="shared" si="20"/>
        <v>123</v>
      </c>
      <c r="G653" s="14">
        <f t="shared" si="21"/>
        <v>48.6666666666667</v>
      </c>
    </row>
    <row r="654" ht="18" customHeight="1" spans="1:7">
      <c r="A654" s="12">
        <v>652</v>
      </c>
      <c r="B654" s="12" t="s">
        <v>22</v>
      </c>
      <c r="C654" s="12" t="str">
        <f>"202205292222"</f>
        <v>202205292222</v>
      </c>
      <c r="D654" s="14">
        <v>67.6</v>
      </c>
      <c r="E654" s="14">
        <v>61</v>
      </c>
      <c r="F654" s="14">
        <f t="shared" si="20"/>
        <v>128.6</v>
      </c>
      <c r="G654" s="14">
        <f t="shared" si="21"/>
        <v>53.0333333333333</v>
      </c>
    </row>
    <row r="655" ht="18" customHeight="1" spans="1:7">
      <c r="A655" s="12">
        <v>653</v>
      </c>
      <c r="B655" s="12" t="s">
        <v>22</v>
      </c>
      <c r="C655" s="12" t="str">
        <f>"202205292223"</f>
        <v>202205292223</v>
      </c>
      <c r="D655" s="14">
        <v>74</v>
      </c>
      <c r="E655" s="14">
        <v>75</v>
      </c>
      <c r="F655" s="14">
        <f t="shared" si="20"/>
        <v>149</v>
      </c>
      <c r="G655" s="14">
        <f t="shared" si="21"/>
        <v>62.1666666666667</v>
      </c>
    </row>
    <row r="656" ht="18" customHeight="1" spans="1:7">
      <c r="A656" s="12">
        <v>654</v>
      </c>
      <c r="B656" s="12" t="s">
        <v>22</v>
      </c>
      <c r="C656" s="12" t="str">
        <f>"202205292224"</f>
        <v>202205292224</v>
      </c>
      <c r="D656" s="14">
        <v>78.8</v>
      </c>
      <c r="E656" s="14">
        <v>23</v>
      </c>
      <c r="F656" s="14">
        <f t="shared" si="20"/>
        <v>101.8</v>
      </c>
      <c r="G656" s="14">
        <f t="shared" si="21"/>
        <v>37.7666666666667</v>
      </c>
    </row>
    <row r="657" ht="18" customHeight="1" spans="1:7">
      <c r="A657" s="12">
        <v>655</v>
      </c>
      <c r="B657" s="12" t="s">
        <v>22</v>
      </c>
      <c r="C657" s="12" t="str">
        <f>"202205292225"</f>
        <v>202205292225</v>
      </c>
      <c r="D657" s="14">
        <v>58</v>
      </c>
      <c r="E657" s="14">
        <v>8</v>
      </c>
      <c r="F657" s="14">
        <f t="shared" si="20"/>
        <v>66</v>
      </c>
      <c r="G657" s="14">
        <f t="shared" si="21"/>
        <v>23.3333333333333</v>
      </c>
    </row>
    <row r="658" ht="18" customHeight="1" spans="1:7">
      <c r="A658" s="12">
        <v>656</v>
      </c>
      <c r="B658" s="12" t="s">
        <v>22</v>
      </c>
      <c r="C658" s="12" t="str">
        <f>"202205292226"</f>
        <v>202205292226</v>
      </c>
      <c r="D658" s="14">
        <v>0</v>
      </c>
      <c r="E658" s="14">
        <v>0</v>
      </c>
      <c r="F658" s="14">
        <f t="shared" si="20"/>
        <v>0</v>
      </c>
      <c r="G658" s="14">
        <f t="shared" si="21"/>
        <v>0</v>
      </c>
    </row>
    <row r="659" ht="18" customHeight="1" spans="1:7">
      <c r="A659" s="12">
        <v>657</v>
      </c>
      <c r="B659" s="12" t="s">
        <v>22</v>
      </c>
      <c r="C659" s="12" t="str">
        <f>"202205292227"</f>
        <v>202205292227</v>
      </c>
      <c r="D659" s="14">
        <v>55.2</v>
      </c>
      <c r="E659" s="14">
        <v>37</v>
      </c>
      <c r="F659" s="14">
        <f t="shared" si="20"/>
        <v>92.2</v>
      </c>
      <c r="G659" s="14">
        <f t="shared" si="21"/>
        <v>36.9</v>
      </c>
    </row>
    <row r="660" ht="18" customHeight="1" spans="1:7">
      <c r="A660" s="12">
        <v>658</v>
      </c>
      <c r="B660" s="12" t="s">
        <v>22</v>
      </c>
      <c r="C660" s="12" t="str">
        <f>"202205292228"</f>
        <v>202205292228</v>
      </c>
      <c r="D660" s="14">
        <v>0</v>
      </c>
      <c r="E660" s="14">
        <v>0</v>
      </c>
      <c r="F660" s="14">
        <f t="shared" si="20"/>
        <v>0</v>
      </c>
      <c r="G660" s="14">
        <f t="shared" si="21"/>
        <v>0</v>
      </c>
    </row>
    <row r="661" ht="18" customHeight="1" spans="1:7">
      <c r="A661" s="12">
        <v>659</v>
      </c>
      <c r="B661" s="12" t="s">
        <v>22</v>
      </c>
      <c r="C661" s="12" t="str">
        <f>"202205292229"</f>
        <v>202205292229</v>
      </c>
      <c r="D661" s="14">
        <v>36.4</v>
      </c>
      <c r="E661" s="14">
        <v>5</v>
      </c>
      <c r="F661" s="14">
        <f t="shared" si="20"/>
        <v>41.4</v>
      </c>
      <c r="G661" s="14">
        <f t="shared" si="21"/>
        <v>14.6333333333333</v>
      </c>
    </row>
    <row r="662" ht="18" customHeight="1" spans="1:7">
      <c r="A662" s="12">
        <v>660</v>
      </c>
      <c r="B662" s="12" t="s">
        <v>22</v>
      </c>
      <c r="C662" s="12" t="str">
        <f>"202205292230"</f>
        <v>202205292230</v>
      </c>
      <c r="D662" s="14">
        <v>0</v>
      </c>
      <c r="E662" s="14">
        <v>0</v>
      </c>
      <c r="F662" s="14">
        <f t="shared" si="20"/>
        <v>0</v>
      </c>
      <c r="G662" s="14">
        <f t="shared" si="21"/>
        <v>0</v>
      </c>
    </row>
    <row r="663" ht="18" customHeight="1" spans="1:7">
      <c r="A663" s="12">
        <v>661</v>
      </c>
      <c r="B663" s="12" t="s">
        <v>22</v>
      </c>
      <c r="C663" s="12" t="str">
        <f>"202205292301"</f>
        <v>202205292301</v>
      </c>
      <c r="D663" s="14">
        <v>71.4</v>
      </c>
      <c r="E663" s="14">
        <v>46</v>
      </c>
      <c r="F663" s="14">
        <f t="shared" si="20"/>
        <v>117.4</v>
      </c>
      <c r="G663" s="14">
        <f t="shared" si="21"/>
        <v>46.8</v>
      </c>
    </row>
    <row r="664" ht="18" customHeight="1" spans="1:7">
      <c r="A664" s="12">
        <v>662</v>
      </c>
      <c r="B664" s="12" t="s">
        <v>22</v>
      </c>
      <c r="C664" s="12" t="str">
        <f>"202205292302"</f>
        <v>202205292302</v>
      </c>
      <c r="D664" s="14">
        <v>83.6</v>
      </c>
      <c r="E664" s="14">
        <v>74</v>
      </c>
      <c r="F664" s="14">
        <f t="shared" si="20"/>
        <v>157.6</v>
      </c>
      <c r="G664" s="14">
        <f t="shared" si="21"/>
        <v>64.8666666666667</v>
      </c>
    </row>
    <row r="665" ht="18" customHeight="1" spans="1:7">
      <c r="A665" s="12">
        <v>663</v>
      </c>
      <c r="B665" s="12" t="s">
        <v>22</v>
      </c>
      <c r="C665" s="12" t="str">
        <f>"202205292303"</f>
        <v>202205292303</v>
      </c>
      <c r="D665" s="14">
        <v>86.4</v>
      </c>
      <c r="E665" s="14">
        <v>47</v>
      </c>
      <c r="F665" s="14">
        <f t="shared" si="20"/>
        <v>133.4</v>
      </c>
      <c r="G665" s="14">
        <f t="shared" si="21"/>
        <v>52.3</v>
      </c>
    </row>
    <row r="666" ht="18" customHeight="1" spans="1:7">
      <c r="A666" s="12">
        <v>664</v>
      </c>
      <c r="B666" s="12" t="s">
        <v>22</v>
      </c>
      <c r="C666" s="12" t="str">
        <f>"202205292304"</f>
        <v>202205292304</v>
      </c>
      <c r="D666" s="14">
        <v>0</v>
      </c>
      <c r="E666" s="14">
        <v>0</v>
      </c>
      <c r="F666" s="14">
        <f t="shared" si="20"/>
        <v>0</v>
      </c>
      <c r="G666" s="14">
        <f t="shared" si="21"/>
        <v>0</v>
      </c>
    </row>
    <row r="667" ht="18" customHeight="1" spans="1:7">
      <c r="A667" s="12">
        <v>665</v>
      </c>
      <c r="B667" s="12" t="s">
        <v>22</v>
      </c>
      <c r="C667" s="12" t="str">
        <f>"202205292305"</f>
        <v>202205292305</v>
      </c>
      <c r="D667" s="14">
        <v>0</v>
      </c>
      <c r="E667" s="14">
        <v>0</v>
      </c>
      <c r="F667" s="14">
        <f t="shared" si="20"/>
        <v>0</v>
      </c>
      <c r="G667" s="14">
        <f t="shared" si="21"/>
        <v>0</v>
      </c>
    </row>
    <row r="668" ht="18" customHeight="1" spans="1:7">
      <c r="A668" s="12">
        <v>666</v>
      </c>
      <c r="B668" s="12" t="s">
        <v>22</v>
      </c>
      <c r="C668" s="12" t="str">
        <f>"202205292306"</f>
        <v>202205292306</v>
      </c>
      <c r="D668" s="14">
        <v>73.8</v>
      </c>
      <c r="E668" s="14">
        <v>42</v>
      </c>
      <c r="F668" s="14">
        <f t="shared" si="20"/>
        <v>115.8</v>
      </c>
      <c r="G668" s="14">
        <f t="shared" si="21"/>
        <v>45.6</v>
      </c>
    </row>
    <row r="669" ht="18" customHeight="1" spans="1:7">
      <c r="A669" s="12">
        <v>667</v>
      </c>
      <c r="B669" s="12" t="s">
        <v>22</v>
      </c>
      <c r="C669" s="12" t="str">
        <f>"202205292307"</f>
        <v>202205292307</v>
      </c>
      <c r="D669" s="14">
        <v>0</v>
      </c>
      <c r="E669" s="14">
        <v>0</v>
      </c>
      <c r="F669" s="14">
        <f t="shared" si="20"/>
        <v>0</v>
      </c>
      <c r="G669" s="14">
        <f t="shared" si="21"/>
        <v>0</v>
      </c>
    </row>
    <row r="670" ht="18" customHeight="1" spans="1:7">
      <c r="A670" s="12">
        <v>668</v>
      </c>
      <c r="B670" s="12" t="s">
        <v>22</v>
      </c>
      <c r="C670" s="12" t="str">
        <f>"202205292308"</f>
        <v>202205292308</v>
      </c>
      <c r="D670" s="14">
        <v>78.4</v>
      </c>
      <c r="E670" s="14">
        <v>47</v>
      </c>
      <c r="F670" s="14">
        <f t="shared" si="20"/>
        <v>125.4</v>
      </c>
      <c r="G670" s="14">
        <f t="shared" si="21"/>
        <v>49.6333333333333</v>
      </c>
    </row>
    <row r="671" ht="18" customHeight="1" spans="1:7">
      <c r="A671" s="12">
        <v>669</v>
      </c>
      <c r="B671" s="12" t="s">
        <v>22</v>
      </c>
      <c r="C671" s="12" t="str">
        <f>"202205292309"</f>
        <v>202205292309</v>
      </c>
      <c r="D671" s="14">
        <v>0</v>
      </c>
      <c r="E671" s="14">
        <v>0</v>
      </c>
      <c r="F671" s="14">
        <f t="shared" si="20"/>
        <v>0</v>
      </c>
      <c r="G671" s="14">
        <f t="shared" si="21"/>
        <v>0</v>
      </c>
    </row>
    <row r="672" ht="18" customHeight="1" spans="1:7">
      <c r="A672" s="12">
        <v>670</v>
      </c>
      <c r="B672" s="12" t="s">
        <v>22</v>
      </c>
      <c r="C672" s="12" t="str">
        <f>"202205292310"</f>
        <v>202205292310</v>
      </c>
      <c r="D672" s="14">
        <v>0</v>
      </c>
      <c r="E672" s="14">
        <v>0</v>
      </c>
      <c r="F672" s="14">
        <f t="shared" si="20"/>
        <v>0</v>
      </c>
      <c r="G672" s="14">
        <f t="shared" si="21"/>
        <v>0</v>
      </c>
    </row>
    <row r="673" ht="18" customHeight="1" spans="1:7">
      <c r="A673" s="12">
        <v>671</v>
      </c>
      <c r="B673" s="12" t="s">
        <v>22</v>
      </c>
      <c r="C673" s="12" t="str">
        <f>"202205292311"</f>
        <v>202205292311</v>
      </c>
      <c r="D673" s="14">
        <v>71.2</v>
      </c>
      <c r="E673" s="14">
        <v>26</v>
      </c>
      <c r="F673" s="14">
        <f t="shared" si="20"/>
        <v>97.2</v>
      </c>
      <c r="G673" s="14">
        <f t="shared" si="21"/>
        <v>36.7333333333333</v>
      </c>
    </row>
    <row r="674" ht="18" customHeight="1" spans="1:7">
      <c r="A674" s="12">
        <v>672</v>
      </c>
      <c r="B674" s="12" t="s">
        <v>22</v>
      </c>
      <c r="C674" s="12" t="str">
        <f>"202205292312"</f>
        <v>202205292312</v>
      </c>
      <c r="D674" s="14">
        <v>0</v>
      </c>
      <c r="E674" s="14">
        <v>0</v>
      </c>
      <c r="F674" s="14">
        <f t="shared" si="20"/>
        <v>0</v>
      </c>
      <c r="G674" s="14">
        <f t="shared" si="21"/>
        <v>0</v>
      </c>
    </row>
    <row r="675" ht="18" customHeight="1" spans="1:7">
      <c r="A675" s="12">
        <v>673</v>
      </c>
      <c r="B675" s="12" t="s">
        <v>22</v>
      </c>
      <c r="C675" s="12" t="str">
        <f>"202205292313"</f>
        <v>202205292313</v>
      </c>
      <c r="D675" s="14">
        <v>0</v>
      </c>
      <c r="E675" s="14">
        <v>0</v>
      </c>
      <c r="F675" s="14">
        <f t="shared" si="20"/>
        <v>0</v>
      </c>
      <c r="G675" s="14">
        <f t="shared" si="21"/>
        <v>0</v>
      </c>
    </row>
    <row r="676" ht="18" customHeight="1" spans="1:7">
      <c r="A676" s="12">
        <v>674</v>
      </c>
      <c r="B676" s="12" t="s">
        <v>22</v>
      </c>
      <c r="C676" s="12" t="str">
        <f>"202205292314"</f>
        <v>202205292314</v>
      </c>
      <c r="D676" s="14">
        <v>77.6</v>
      </c>
      <c r="E676" s="14">
        <v>80</v>
      </c>
      <c r="F676" s="14">
        <f t="shared" si="20"/>
        <v>157.6</v>
      </c>
      <c r="G676" s="14">
        <f t="shared" si="21"/>
        <v>65.8666666666667</v>
      </c>
    </row>
    <row r="677" ht="18" customHeight="1" spans="1:7">
      <c r="A677" s="12">
        <v>675</v>
      </c>
      <c r="B677" s="12" t="s">
        <v>22</v>
      </c>
      <c r="C677" s="12" t="str">
        <f>"202205292315"</f>
        <v>202205292315</v>
      </c>
      <c r="D677" s="14">
        <v>75.6</v>
      </c>
      <c r="E677" s="14">
        <v>56</v>
      </c>
      <c r="F677" s="14">
        <f t="shared" si="20"/>
        <v>131.6</v>
      </c>
      <c r="G677" s="14">
        <f t="shared" si="21"/>
        <v>53.2</v>
      </c>
    </row>
    <row r="678" ht="18" customHeight="1" spans="1:7">
      <c r="A678" s="12">
        <v>676</v>
      </c>
      <c r="B678" s="12" t="s">
        <v>22</v>
      </c>
      <c r="C678" s="12" t="str">
        <f>"202205292316"</f>
        <v>202205292316</v>
      </c>
      <c r="D678" s="14">
        <v>0</v>
      </c>
      <c r="E678" s="14">
        <v>0</v>
      </c>
      <c r="F678" s="14">
        <f t="shared" si="20"/>
        <v>0</v>
      </c>
      <c r="G678" s="14">
        <f t="shared" si="21"/>
        <v>0</v>
      </c>
    </row>
    <row r="679" ht="18" customHeight="1" spans="1:7">
      <c r="A679" s="12">
        <v>677</v>
      </c>
      <c r="B679" s="12" t="s">
        <v>22</v>
      </c>
      <c r="C679" s="12" t="str">
        <f>"202205292317"</f>
        <v>202205292317</v>
      </c>
      <c r="D679" s="14">
        <v>0</v>
      </c>
      <c r="E679" s="14">
        <v>0</v>
      </c>
      <c r="F679" s="14">
        <f t="shared" si="20"/>
        <v>0</v>
      </c>
      <c r="G679" s="14">
        <f t="shared" si="21"/>
        <v>0</v>
      </c>
    </row>
    <row r="680" ht="18" customHeight="1" spans="1:7">
      <c r="A680" s="12">
        <v>678</v>
      </c>
      <c r="B680" s="12" t="s">
        <v>22</v>
      </c>
      <c r="C680" s="12" t="str">
        <f>"202205292318"</f>
        <v>202205292318</v>
      </c>
      <c r="D680" s="14">
        <v>0</v>
      </c>
      <c r="E680" s="14">
        <v>0</v>
      </c>
      <c r="F680" s="14">
        <f t="shared" si="20"/>
        <v>0</v>
      </c>
      <c r="G680" s="14">
        <f t="shared" si="21"/>
        <v>0</v>
      </c>
    </row>
    <row r="681" ht="18" customHeight="1" spans="1:7">
      <c r="A681" s="12">
        <v>679</v>
      </c>
      <c r="B681" s="12" t="s">
        <v>22</v>
      </c>
      <c r="C681" s="12" t="str">
        <f>"202205292319"</f>
        <v>202205292319</v>
      </c>
      <c r="D681" s="14">
        <v>0</v>
      </c>
      <c r="E681" s="14">
        <v>0</v>
      </c>
      <c r="F681" s="14">
        <f t="shared" si="20"/>
        <v>0</v>
      </c>
      <c r="G681" s="14">
        <f t="shared" si="21"/>
        <v>0</v>
      </c>
    </row>
    <row r="682" ht="18" customHeight="1" spans="1:7">
      <c r="A682" s="12">
        <v>680</v>
      </c>
      <c r="B682" s="12" t="s">
        <v>22</v>
      </c>
      <c r="C682" s="12" t="str">
        <f>"202205292320"</f>
        <v>202205292320</v>
      </c>
      <c r="D682" s="14">
        <v>41.6</v>
      </c>
      <c r="E682" s="14">
        <v>14</v>
      </c>
      <c r="F682" s="14">
        <f t="shared" si="20"/>
        <v>55.6</v>
      </c>
      <c r="G682" s="14">
        <f t="shared" si="21"/>
        <v>20.8666666666667</v>
      </c>
    </row>
    <row r="683" ht="18" customHeight="1" spans="1:7">
      <c r="A683" s="12">
        <v>681</v>
      </c>
      <c r="B683" s="12" t="s">
        <v>22</v>
      </c>
      <c r="C683" s="12" t="str">
        <f>"202205292321"</f>
        <v>202205292321</v>
      </c>
      <c r="D683" s="14">
        <v>82.8</v>
      </c>
      <c r="E683" s="14">
        <v>47</v>
      </c>
      <c r="F683" s="14">
        <f t="shared" si="20"/>
        <v>129.8</v>
      </c>
      <c r="G683" s="14">
        <f t="shared" si="21"/>
        <v>51.1</v>
      </c>
    </row>
    <row r="684" ht="18" customHeight="1" spans="1:7">
      <c r="A684" s="12">
        <v>682</v>
      </c>
      <c r="B684" s="12" t="s">
        <v>22</v>
      </c>
      <c r="C684" s="12" t="str">
        <f>"202205292322"</f>
        <v>202205292322</v>
      </c>
      <c r="D684" s="14">
        <v>0</v>
      </c>
      <c r="E684" s="14">
        <v>0</v>
      </c>
      <c r="F684" s="14">
        <f t="shared" si="20"/>
        <v>0</v>
      </c>
      <c r="G684" s="14">
        <f t="shared" si="21"/>
        <v>0</v>
      </c>
    </row>
    <row r="685" ht="18" customHeight="1" spans="1:7">
      <c r="A685" s="12">
        <v>683</v>
      </c>
      <c r="B685" s="12" t="s">
        <v>22</v>
      </c>
      <c r="C685" s="12" t="str">
        <f>"202205292323"</f>
        <v>202205292323</v>
      </c>
      <c r="D685" s="14">
        <v>0</v>
      </c>
      <c r="E685" s="14">
        <v>0</v>
      </c>
      <c r="F685" s="14">
        <f t="shared" si="20"/>
        <v>0</v>
      </c>
      <c r="G685" s="14">
        <f t="shared" si="21"/>
        <v>0</v>
      </c>
    </row>
    <row r="686" ht="18" customHeight="1" spans="1:7">
      <c r="A686" s="12">
        <v>684</v>
      </c>
      <c r="B686" s="12" t="s">
        <v>22</v>
      </c>
      <c r="C686" s="12" t="str">
        <f>"202205292324"</f>
        <v>202205292324</v>
      </c>
      <c r="D686" s="14">
        <v>69.8</v>
      </c>
      <c r="E686" s="14">
        <v>42</v>
      </c>
      <c r="F686" s="14">
        <f t="shared" si="20"/>
        <v>111.8</v>
      </c>
      <c r="G686" s="14">
        <f t="shared" si="21"/>
        <v>44.2666666666667</v>
      </c>
    </row>
    <row r="687" ht="18" customHeight="1" spans="1:7">
      <c r="A687" s="12">
        <v>685</v>
      </c>
      <c r="B687" s="12" t="s">
        <v>22</v>
      </c>
      <c r="C687" s="12" t="str">
        <f>"202205292325"</f>
        <v>202205292325</v>
      </c>
      <c r="D687" s="14">
        <v>0</v>
      </c>
      <c r="E687" s="14">
        <v>0</v>
      </c>
      <c r="F687" s="14">
        <f t="shared" si="20"/>
        <v>0</v>
      </c>
      <c r="G687" s="14">
        <f t="shared" si="21"/>
        <v>0</v>
      </c>
    </row>
    <row r="688" ht="18" customHeight="1" spans="1:7">
      <c r="A688" s="12">
        <v>686</v>
      </c>
      <c r="B688" s="12" t="s">
        <v>22</v>
      </c>
      <c r="C688" s="12" t="str">
        <f>"202205292326"</f>
        <v>202205292326</v>
      </c>
      <c r="D688" s="14">
        <v>77.6</v>
      </c>
      <c r="E688" s="14">
        <v>11</v>
      </c>
      <c r="F688" s="14">
        <f t="shared" si="20"/>
        <v>88.6</v>
      </c>
      <c r="G688" s="14">
        <f t="shared" si="21"/>
        <v>31.3666666666667</v>
      </c>
    </row>
    <row r="689" ht="18" customHeight="1" spans="1:7">
      <c r="A689" s="12">
        <v>687</v>
      </c>
      <c r="B689" s="12" t="s">
        <v>22</v>
      </c>
      <c r="C689" s="12" t="str">
        <f>"202205292327"</f>
        <v>202205292327</v>
      </c>
      <c r="D689" s="14">
        <v>0</v>
      </c>
      <c r="E689" s="14">
        <v>0</v>
      </c>
      <c r="F689" s="14">
        <f t="shared" si="20"/>
        <v>0</v>
      </c>
      <c r="G689" s="14">
        <f t="shared" si="21"/>
        <v>0</v>
      </c>
    </row>
    <row r="690" ht="18" customHeight="1" spans="1:7">
      <c r="A690" s="12">
        <v>688</v>
      </c>
      <c r="B690" s="12" t="s">
        <v>22</v>
      </c>
      <c r="C690" s="12" t="str">
        <f>"202205292328"</f>
        <v>202205292328</v>
      </c>
      <c r="D690" s="14">
        <v>63.8</v>
      </c>
      <c r="E690" s="14">
        <v>59</v>
      </c>
      <c r="F690" s="14">
        <f t="shared" si="20"/>
        <v>122.8</v>
      </c>
      <c r="G690" s="14">
        <f t="shared" si="21"/>
        <v>50.7666666666667</v>
      </c>
    </row>
    <row r="691" ht="18" customHeight="1" spans="1:7">
      <c r="A691" s="12">
        <v>689</v>
      </c>
      <c r="B691" s="12" t="s">
        <v>22</v>
      </c>
      <c r="C691" s="12" t="str">
        <f>"202205292329"</f>
        <v>202205292329</v>
      </c>
      <c r="D691" s="14">
        <v>69.4</v>
      </c>
      <c r="E691" s="14">
        <v>47</v>
      </c>
      <c r="F691" s="14">
        <f t="shared" si="20"/>
        <v>116.4</v>
      </c>
      <c r="G691" s="14">
        <f t="shared" si="21"/>
        <v>46.6333333333333</v>
      </c>
    </row>
    <row r="692" ht="18" customHeight="1" spans="1:7">
      <c r="A692" s="12">
        <v>690</v>
      </c>
      <c r="B692" s="12" t="s">
        <v>22</v>
      </c>
      <c r="C692" s="12" t="str">
        <f>"202205292330"</f>
        <v>202205292330</v>
      </c>
      <c r="D692" s="14">
        <v>83.2</v>
      </c>
      <c r="E692" s="14">
        <v>42</v>
      </c>
      <c r="F692" s="14">
        <f t="shared" si="20"/>
        <v>125.2</v>
      </c>
      <c r="G692" s="14">
        <f t="shared" si="21"/>
        <v>48.7333333333333</v>
      </c>
    </row>
    <row r="693" ht="18" customHeight="1" spans="1:7">
      <c r="A693" s="12">
        <v>691</v>
      </c>
      <c r="B693" s="12" t="s">
        <v>22</v>
      </c>
      <c r="C693" s="12" t="str">
        <f>"202205292401"</f>
        <v>202205292401</v>
      </c>
      <c r="D693" s="14">
        <v>72.6</v>
      </c>
      <c r="E693" s="14">
        <v>58</v>
      </c>
      <c r="F693" s="14">
        <f t="shared" si="20"/>
        <v>130.6</v>
      </c>
      <c r="G693" s="14">
        <f t="shared" si="21"/>
        <v>53.2</v>
      </c>
    </row>
    <row r="694" ht="18" customHeight="1" spans="1:7">
      <c r="A694" s="12">
        <v>692</v>
      </c>
      <c r="B694" s="12" t="s">
        <v>22</v>
      </c>
      <c r="C694" s="12" t="str">
        <f>"202205292402"</f>
        <v>202205292402</v>
      </c>
      <c r="D694" s="14">
        <v>0</v>
      </c>
      <c r="E694" s="14">
        <v>0</v>
      </c>
      <c r="F694" s="14">
        <f t="shared" si="20"/>
        <v>0</v>
      </c>
      <c r="G694" s="14">
        <f t="shared" si="21"/>
        <v>0</v>
      </c>
    </row>
    <row r="695" ht="18" customHeight="1" spans="1:7">
      <c r="A695" s="12">
        <v>693</v>
      </c>
      <c r="B695" s="12" t="s">
        <v>22</v>
      </c>
      <c r="C695" s="12" t="str">
        <f>"202205292403"</f>
        <v>202205292403</v>
      </c>
      <c r="D695" s="14">
        <v>0</v>
      </c>
      <c r="E695" s="14">
        <v>0</v>
      </c>
      <c r="F695" s="14">
        <f t="shared" si="20"/>
        <v>0</v>
      </c>
      <c r="G695" s="14">
        <f t="shared" si="21"/>
        <v>0</v>
      </c>
    </row>
    <row r="696" ht="18" customHeight="1" spans="1:7">
      <c r="A696" s="12">
        <v>694</v>
      </c>
      <c r="B696" s="12" t="s">
        <v>22</v>
      </c>
      <c r="C696" s="12" t="str">
        <f>"202205292404"</f>
        <v>202205292404</v>
      </c>
      <c r="D696" s="14">
        <v>68.6</v>
      </c>
      <c r="E696" s="14">
        <v>40</v>
      </c>
      <c r="F696" s="14">
        <f t="shared" si="20"/>
        <v>108.6</v>
      </c>
      <c r="G696" s="14">
        <f t="shared" si="21"/>
        <v>42.8666666666667</v>
      </c>
    </row>
    <row r="697" ht="18" customHeight="1" spans="1:7">
      <c r="A697" s="12">
        <v>695</v>
      </c>
      <c r="B697" s="12" t="s">
        <v>22</v>
      </c>
      <c r="C697" s="12" t="str">
        <f>"202205292405"</f>
        <v>202205292405</v>
      </c>
      <c r="D697" s="14">
        <v>0</v>
      </c>
      <c r="E697" s="14">
        <v>0</v>
      </c>
      <c r="F697" s="14">
        <f t="shared" si="20"/>
        <v>0</v>
      </c>
      <c r="G697" s="14">
        <f t="shared" si="21"/>
        <v>0</v>
      </c>
    </row>
    <row r="698" ht="18" customHeight="1" spans="1:7">
      <c r="A698" s="12">
        <v>696</v>
      </c>
      <c r="B698" s="12" t="s">
        <v>22</v>
      </c>
      <c r="C698" s="12" t="str">
        <f>"202205292406"</f>
        <v>202205292406</v>
      </c>
      <c r="D698" s="14">
        <v>64.4</v>
      </c>
      <c r="E698" s="14">
        <v>42</v>
      </c>
      <c r="F698" s="14">
        <f t="shared" si="20"/>
        <v>106.4</v>
      </c>
      <c r="G698" s="14">
        <f t="shared" si="21"/>
        <v>42.4666666666667</v>
      </c>
    </row>
    <row r="699" ht="18" customHeight="1" spans="1:7">
      <c r="A699" s="12">
        <v>697</v>
      </c>
      <c r="B699" s="12" t="s">
        <v>22</v>
      </c>
      <c r="C699" s="12" t="str">
        <f>"202205292407"</f>
        <v>202205292407</v>
      </c>
      <c r="D699" s="14">
        <v>73.4</v>
      </c>
      <c r="E699" s="14">
        <v>40</v>
      </c>
      <c r="F699" s="14">
        <f t="shared" si="20"/>
        <v>113.4</v>
      </c>
      <c r="G699" s="14">
        <f t="shared" si="21"/>
        <v>44.4666666666667</v>
      </c>
    </row>
    <row r="700" ht="18" customHeight="1" spans="1:7">
      <c r="A700" s="12">
        <v>698</v>
      </c>
      <c r="B700" s="12" t="s">
        <v>22</v>
      </c>
      <c r="C700" s="12" t="str">
        <f>"202205292408"</f>
        <v>202205292408</v>
      </c>
      <c r="D700" s="14">
        <v>82.6</v>
      </c>
      <c r="E700" s="14">
        <v>50</v>
      </c>
      <c r="F700" s="14">
        <f t="shared" si="20"/>
        <v>132.6</v>
      </c>
      <c r="G700" s="14">
        <f t="shared" si="21"/>
        <v>52.5333333333333</v>
      </c>
    </row>
    <row r="701" ht="18" customHeight="1" spans="1:7">
      <c r="A701" s="12">
        <v>699</v>
      </c>
      <c r="B701" s="12" t="s">
        <v>22</v>
      </c>
      <c r="C701" s="12" t="str">
        <f>"202205292409"</f>
        <v>202205292409</v>
      </c>
      <c r="D701" s="14">
        <v>0</v>
      </c>
      <c r="E701" s="14">
        <v>0</v>
      </c>
      <c r="F701" s="14">
        <f t="shared" si="20"/>
        <v>0</v>
      </c>
      <c r="G701" s="14">
        <f t="shared" si="21"/>
        <v>0</v>
      </c>
    </row>
    <row r="702" ht="18" customHeight="1" spans="1:7">
      <c r="A702" s="12">
        <v>700</v>
      </c>
      <c r="B702" s="12" t="s">
        <v>22</v>
      </c>
      <c r="C702" s="12" t="str">
        <f>"202205292410"</f>
        <v>202205292410</v>
      </c>
      <c r="D702" s="14">
        <v>81.2</v>
      </c>
      <c r="E702" s="14">
        <v>83</v>
      </c>
      <c r="F702" s="14">
        <f t="shared" si="20"/>
        <v>164.2</v>
      </c>
      <c r="G702" s="14">
        <f t="shared" si="21"/>
        <v>68.5666666666667</v>
      </c>
    </row>
    <row r="703" ht="18" customHeight="1" spans="1:7">
      <c r="A703" s="12">
        <v>701</v>
      </c>
      <c r="B703" s="12" t="s">
        <v>22</v>
      </c>
      <c r="C703" s="12" t="str">
        <f>"202205292411"</f>
        <v>202205292411</v>
      </c>
      <c r="D703" s="14">
        <v>75.2</v>
      </c>
      <c r="E703" s="14">
        <v>33</v>
      </c>
      <c r="F703" s="14">
        <f t="shared" si="20"/>
        <v>108.2</v>
      </c>
      <c r="G703" s="14">
        <f t="shared" si="21"/>
        <v>41.5666666666667</v>
      </c>
    </row>
    <row r="704" ht="18" customHeight="1" spans="1:7">
      <c r="A704" s="12">
        <v>702</v>
      </c>
      <c r="B704" s="12" t="s">
        <v>22</v>
      </c>
      <c r="C704" s="12" t="str">
        <f>"202205292412"</f>
        <v>202205292412</v>
      </c>
      <c r="D704" s="14">
        <v>72.2</v>
      </c>
      <c r="E704" s="14">
        <v>25</v>
      </c>
      <c r="F704" s="14">
        <f t="shared" si="20"/>
        <v>97.2</v>
      </c>
      <c r="G704" s="14">
        <f t="shared" si="21"/>
        <v>36.5666666666667</v>
      </c>
    </row>
    <row r="705" ht="18" customHeight="1" spans="1:7">
      <c r="A705" s="12">
        <v>703</v>
      </c>
      <c r="B705" s="12" t="s">
        <v>22</v>
      </c>
      <c r="C705" s="12" t="str">
        <f>"202205292413"</f>
        <v>202205292413</v>
      </c>
      <c r="D705" s="14">
        <v>87</v>
      </c>
      <c r="E705" s="14">
        <v>50</v>
      </c>
      <c r="F705" s="14">
        <f t="shared" si="20"/>
        <v>137</v>
      </c>
      <c r="G705" s="14">
        <f t="shared" si="21"/>
        <v>54</v>
      </c>
    </row>
    <row r="706" ht="18" customHeight="1" spans="1:7">
      <c r="A706" s="12">
        <v>704</v>
      </c>
      <c r="B706" s="12" t="s">
        <v>22</v>
      </c>
      <c r="C706" s="12" t="str">
        <f>"202205292414"</f>
        <v>202205292414</v>
      </c>
      <c r="D706" s="14">
        <v>68</v>
      </c>
      <c r="E706" s="14">
        <v>18</v>
      </c>
      <c r="F706" s="14">
        <f t="shared" si="20"/>
        <v>86</v>
      </c>
      <c r="G706" s="14">
        <f t="shared" si="21"/>
        <v>31.6666666666667</v>
      </c>
    </row>
    <row r="707" ht="18" customHeight="1" spans="1:7">
      <c r="A707" s="12">
        <v>705</v>
      </c>
      <c r="B707" s="12" t="s">
        <v>22</v>
      </c>
      <c r="C707" s="12" t="str">
        <f>"202205292415"</f>
        <v>202205292415</v>
      </c>
      <c r="D707" s="14">
        <v>75.6</v>
      </c>
      <c r="E707" s="14">
        <v>52</v>
      </c>
      <c r="F707" s="14">
        <f t="shared" si="20"/>
        <v>127.6</v>
      </c>
      <c r="G707" s="14">
        <f t="shared" si="21"/>
        <v>51.2</v>
      </c>
    </row>
    <row r="708" ht="18" customHeight="1" spans="1:7">
      <c r="A708" s="12">
        <v>706</v>
      </c>
      <c r="B708" s="12" t="s">
        <v>22</v>
      </c>
      <c r="C708" s="12" t="str">
        <f>"202205292416"</f>
        <v>202205292416</v>
      </c>
      <c r="D708" s="14">
        <v>74.6</v>
      </c>
      <c r="E708" s="14">
        <v>36</v>
      </c>
      <c r="F708" s="14">
        <f t="shared" ref="F708:F771" si="22">D708+E708</f>
        <v>110.6</v>
      </c>
      <c r="G708" s="14">
        <f t="shared" ref="G708:G771" si="23">D708/1.2*0.4+E708/1.2*0.6</f>
        <v>42.8666666666667</v>
      </c>
    </row>
    <row r="709" ht="18" customHeight="1" spans="1:7">
      <c r="A709" s="12">
        <v>707</v>
      </c>
      <c r="B709" s="12" t="s">
        <v>22</v>
      </c>
      <c r="C709" s="12" t="str">
        <f>"202205292417"</f>
        <v>202205292417</v>
      </c>
      <c r="D709" s="14">
        <v>67.2</v>
      </c>
      <c r="E709" s="14">
        <v>52</v>
      </c>
      <c r="F709" s="14">
        <f t="shared" si="22"/>
        <v>119.2</v>
      </c>
      <c r="G709" s="14">
        <f t="shared" si="23"/>
        <v>48.4</v>
      </c>
    </row>
    <row r="710" ht="18" customHeight="1" spans="1:7">
      <c r="A710" s="12">
        <v>708</v>
      </c>
      <c r="B710" s="12" t="s">
        <v>22</v>
      </c>
      <c r="C710" s="12" t="str">
        <f>"202205292418"</f>
        <v>202205292418</v>
      </c>
      <c r="D710" s="14">
        <v>0</v>
      </c>
      <c r="E710" s="14">
        <v>0</v>
      </c>
      <c r="F710" s="14">
        <f t="shared" si="22"/>
        <v>0</v>
      </c>
      <c r="G710" s="14">
        <f t="shared" si="23"/>
        <v>0</v>
      </c>
    </row>
    <row r="711" ht="18" customHeight="1" spans="1:7">
      <c r="A711" s="12">
        <v>709</v>
      </c>
      <c r="B711" s="12" t="s">
        <v>22</v>
      </c>
      <c r="C711" s="12" t="str">
        <f>"202205292419"</f>
        <v>202205292419</v>
      </c>
      <c r="D711" s="14">
        <v>75.8</v>
      </c>
      <c r="E711" s="14">
        <v>44</v>
      </c>
      <c r="F711" s="14">
        <f t="shared" si="22"/>
        <v>119.8</v>
      </c>
      <c r="G711" s="14">
        <f t="shared" si="23"/>
        <v>47.2666666666667</v>
      </c>
    </row>
    <row r="712" ht="18" customHeight="1" spans="1:7">
      <c r="A712" s="12">
        <v>710</v>
      </c>
      <c r="B712" s="12" t="s">
        <v>22</v>
      </c>
      <c r="C712" s="12" t="str">
        <f>"202205292420"</f>
        <v>202205292420</v>
      </c>
      <c r="D712" s="14">
        <v>81.2</v>
      </c>
      <c r="E712" s="14">
        <v>34</v>
      </c>
      <c r="F712" s="14">
        <f t="shared" si="22"/>
        <v>115.2</v>
      </c>
      <c r="G712" s="14">
        <f t="shared" si="23"/>
        <v>44.0666666666667</v>
      </c>
    </row>
    <row r="713" ht="18" customHeight="1" spans="1:7">
      <c r="A713" s="12">
        <v>711</v>
      </c>
      <c r="B713" s="12" t="s">
        <v>22</v>
      </c>
      <c r="C713" s="12" t="str">
        <f>"202205292421"</f>
        <v>202205292421</v>
      </c>
      <c r="D713" s="14">
        <v>86.6</v>
      </c>
      <c r="E713" s="14">
        <v>51</v>
      </c>
      <c r="F713" s="14">
        <f t="shared" si="22"/>
        <v>137.6</v>
      </c>
      <c r="G713" s="14">
        <f t="shared" si="23"/>
        <v>54.3666666666667</v>
      </c>
    </row>
    <row r="714" ht="18" customHeight="1" spans="1:7">
      <c r="A714" s="12">
        <v>712</v>
      </c>
      <c r="B714" s="12" t="s">
        <v>22</v>
      </c>
      <c r="C714" s="12" t="str">
        <f>"202205292422"</f>
        <v>202205292422</v>
      </c>
      <c r="D714" s="14">
        <v>61.8</v>
      </c>
      <c r="E714" s="14">
        <v>55</v>
      </c>
      <c r="F714" s="14">
        <f t="shared" si="22"/>
        <v>116.8</v>
      </c>
      <c r="G714" s="14">
        <f t="shared" si="23"/>
        <v>48.1</v>
      </c>
    </row>
    <row r="715" ht="18" customHeight="1" spans="1:7">
      <c r="A715" s="12">
        <v>713</v>
      </c>
      <c r="B715" s="12" t="s">
        <v>22</v>
      </c>
      <c r="C715" s="12" t="str">
        <f>"202205292423"</f>
        <v>202205292423</v>
      </c>
      <c r="D715" s="14">
        <v>72.8</v>
      </c>
      <c r="E715" s="14">
        <v>18</v>
      </c>
      <c r="F715" s="14">
        <f t="shared" si="22"/>
        <v>90.8</v>
      </c>
      <c r="G715" s="14">
        <f t="shared" si="23"/>
        <v>33.2666666666667</v>
      </c>
    </row>
    <row r="716" ht="18" customHeight="1" spans="1:7">
      <c r="A716" s="12">
        <v>714</v>
      </c>
      <c r="B716" s="12" t="s">
        <v>22</v>
      </c>
      <c r="C716" s="12" t="str">
        <f>"202205292424"</f>
        <v>202205292424</v>
      </c>
      <c r="D716" s="14">
        <v>71.4</v>
      </c>
      <c r="E716" s="14">
        <v>71</v>
      </c>
      <c r="F716" s="14">
        <f t="shared" si="22"/>
        <v>142.4</v>
      </c>
      <c r="G716" s="14">
        <f t="shared" si="23"/>
        <v>59.3</v>
      </c>
    </row>
    <row r="717" ht="18" customHeight="1" spans="1:7">
      <c r="A717" s="12">
        <v>715</v>
      </c>
      <c r="B717" s="12" t="s">
        <v>22</v>
      </c>
      <c r="C717" s="12" t="str">
        <f>"202205292425"</f>
        <v>202205292425</v>
      </c>
      <c r="D717" s="14">
        <v>68.6</v>
      </c>
      <c r="E717" s="14">
        <v>28</v>
      </c>
      <c r="F717" s="14">
        <f t="shared" si="22"/>
        <v>96.6</v>
      </c>
      <c r="G717" s="14">
        <f t="shared" si="23"/>
        <v>36.8666666666667</v>
      </c>
    </row>
    <row r="718" ht="18" customHeight="1" spans="1:7">
      <c r="A718" s="12">
        <v>716</v>
      </c>
      <c r="B718" s="12" t="s">
        <v>22</v>
      </c>
      <c r="C718" s="12" t="str">
        <f>"202205292426"</f>
        <v>202205292426</v>
      </c>
      <c r="D718" s="14">
        <v>0</v>
      </c>
      <c r="E718" s="14">
        <v>0</v>
      </c>
      <c r="F718" s="14">
        <f t="shared" si="22"/>
        <v>0</v>
      </c>
      <c r="G718" s="14">
        <f t="shared" si="23"/>
        <v>0</v>
      </c>
    </row>
    <row r="719" ht="18" customHeight="1" spans="1:7">
      <c r="A719" s="12">
        <v>717</v>
      </c>
      <c r="B719" s="12" t="s">
        <v>22</v>
      </c>
      <c r="C719" s="12" t="str">
        <f>"202205292427"</f>
        <v>202205292427</v>
      </c>
      <c r="D719" s="14">
        <v>67</v>
      </c>
      <c r="E719" s="14">
        <v>45</v>
      </c>
      <c r="F719" s="14">
        <f t="shared" si="22"/>
        <v>112</v>
      </c>
      <c r="G719" s="14">
        <f t="shared" si="23"/>
        <v>44.8333333333333</v>
      </c>
    </row>
    <row r="720" ht="18" customHeight="1" spans="1:7">
      <c r="A720" s="12">
        <v>718</v>
      </c>
      <c r="B720" s="12" t="s">
        <v>22</v>
      </c>
      <c r="C720" s="12" t="str">
        <f>"202205292428"</f>
        <v>202205292428</v>
      </c>
      <c r="D720" s="14">
        <v>0</v>
      </c>
      <c r="E720" s="14">
        <v>0</v>
      </c>
      <c r="F720" s="14">
        <f t="shared" si="22"/>
        <v>0</v>
      </c>
      <c r="G720" s="14">
        <f t="shared" si="23"/>
        <v>0</v>
      </c>
    </row>
    <row r="721" ht="18" customHeight="1" spans="1:7">
      <c r="A721" s="12">
        <v>719</v>
      </c>
      <c r="B721" s="12" t="s">
        <v>22</v>
      </c>
      <c r="C721" s="12" t="str">
        <f>"202205292429"</f>
        <v>202205292429</v>
      </c>
      <c r="D721" s="14">
        <v>75.4</v>
      </c>
      <c r="E721" s="14">
        <v>58</v>
      </c>
      <c r="F721" s="14">
        <f t="shared" si="22"/>
        <v>133.4</v>
      </c>
      <c r="G721" s="14">
        <f t="shared" si="23"/>
        <v>54.1333333333333</v>
      </c>
    </row>
    <row r="722" ht="18" customHeight="1" spans="1:7">
      <c r="A722" s="12">
        <v>720</v>
      </c>
      <c r="B722" s="12" t="s">
        <v>22</v>
      </c>
      <c r="C722" s="12" t="str">
        <f>"202205292430"</f>
        <v>202205292430</v>
      </c>
      <c r="D722" s="14">
        <v>0</v>
      </c>
      <c r="E722" s="14">
        <v>0</v>
      </c>
      <c r="F722" s="14">
        <f t="shared" si="22"/>
        <v>0</v>
      </c>
      <c r="G722" s="14">
        <f t="shared" si="23"/>
        <v>0</v>
      </c>
    </row>
    <row r="723" ht="18" customHeight="1" spans="1:7">
      <c r="A723" s="12">
        <v>721</v>
      </c>
      <c r="B723" s="12" t="s">
        <v>22</v>
      </c>
      <c r="C723" s="12" t="str">
        <f>"202205292501"</f>
        <v>202205292501</v>
      </c>
      <c r="D723" s="14">
        <v>77.2</v>
      </c>
      <c r="E723" s="14">
        <v>27</v>
      </c>
      <c r="F723" s="14">
        <f t="shared" si="22"/>
        <v>104.2</v>
      </c>
      <c r="G723" s="14">
        <f t="shared" si="23"/>
        <v>39.2333333333333</v>
      </c>
    </row>
    <row r="724" ht="18" customHeight="1" spans="1:7">
      <c r="A724" s="12">
        <v>722</v>
      </c>
      <c r="B724" s="12" t="s">
        <v>22</v>
      </c>
      <c r="C724" s="12" t="str">
        <f>"202205292502"</f>
        <v>202205292502</v>
      </c>
      <c r="D724" s="14">
        <v>0</v>
      </c>
      <c r="E724" s="14">
        <v>0</v>
      </c>
      <c r="F724" s="14">
        <f t="shared" si="22"/>
        <v>0</v>
      </c>
      <c r="G724" s="14">
        <f t="shared" si="23"/>
        <v>0</v>
      </c>
    </row>
    <row r="725" ht="18" customHeight="1" spans="1:7">
      <c r="A725" s="12">
        <v>723</v>
      </c>
      <c r="B725" s="12" t="s">
        <v>22</v>
      </c>
      <c r="C725" s="12" t="str">
        <f>"202205292503"</f>
        <v>202205292503</v>
      </c>
      <c r="D725" s="14">
        <v>77.2</v>
      </c>
      <c r="E725" s="14">
        <v>36</v>
      </c>
      <c r="F725" s="14">
        <f t="shared" si="22"/>
        <v>113.2</v>
      </c>
      <c r="G725" s="14">
        <f t="shared" si="23"/>
        <v>43.7333333333333</v>
      </c>
    </row>
    <row r="726" ht="18" customHeight="1" spans="1:7">
      <c r="A726" s="12">
        <v>724</v>
      </c>
      <c r="B726" s="12" t="s">
        <v>22</v>
      </c>
      <c r="C726" s="12" t="str">
        <f>"202205292504"</f>
        <v>202205292504</v>
      </c>
      <c r="D726" s="14">
        <v>73.8</v>
      </c>
      <c r="E726" s="14">
        <v>36</v>
      </c>
      <c r="F726" s="14">
        <f t="shared" si="22"/>
        <v>109.8</v>
      </c>
      <c r="G726" s="14">
        <f t="shared" si="23"/>
        <v>42.6</v>
      </c>
    </row>
    <row r="727" ht="18" customHeight="1" spans="1:7">
      <c r="A727" s="12">
        <v>725</v>
      </c>
      <c r="B727" s="12" t="s">
        <v>22</v>
      </c>
      <c r="C727" s="12" t="str">
        <f>"202205292505"</f>
        <v>202205292505</v>
      </c>
      <c r="D727" s="14">
        <v>71.4</v>
      </c>
      <c r="E727" s="14">
        <v>13</v>
      </c>
      <c r="F727" s="14">
        <f t="shared" si="22"/>
        <v>84.4</v>
      </c>
      <c r="G727" s="14">
        <f t="shared" si="23"/>
        <v>30.3</v>
      </c>
    </row>
    <row r="728" ht="18" customHeight="1" spans="1:7">
      <c r="A728" s="12">
        <v>726</v>
      </c>
      <c r="B728" s="12" t="s">
        <v>22</v>
      </c>
      <c r="C728" s="12" t="str">
        <f>"202205292506"</f>
        <v>202205292506</v>
      </c>
      <c r="D728" s="14">
        <v>0</v>
      </c>
      <c r="E728" s="14">
        <v>0</v>
      </c>
      <c r="F728" s="14">
        <f t="shared" si="22"/>
        <v>0</v>
      </c>
      <c r="G728" s="14">
        <f t="shared" si="23"/>
        <v>0</v>
      </c>
    </row>
    <row r="729" ht="18" customHeight="1" spans="1:7">
      <c r="A729" s="12">
        <v>727</v>
      </c>
      <c r="B729" s="12" t="s">
        <v>22</v>
      </c>
      <c r="C729" s="12" t="str">
        <f>"202205292507"</f>
        <v>202205292507</v>
      </c>
      <c r="D729" s="14">
        <v>0</v>
      </c>
      <c r="E729" s="14">
        <v>0</v>
      </c>
      <c r="F729" s="14">
        <f t="shared" si="22"/>
        <v>0</v>
      </c>
      <c r="G729" s="14">
        <f t="shared" si="23"/>
        <v>0</v>
      </c>
    </row>
    <row r="730" ht="18" customHeight="1" spans="1:7">
      <c r="A730" s="12">
        <v>728</v>
      </c>
      <c r="B730" s="12" t="s">
        <v>22</v>
      </c>
      <c r="C730" s="12" t="str">
        <f>"202205292508"</f>
        <v>202205292508</v>
      </c>
      <c r="D730" s="14">
        <v>65.6</v>
      </c>
      <c r="E730" s="14">
        <v>42</v>
      </c>
      <c r="F730" s="14">
        <f t="shared" si="22"/>
        <v>107.6</v>
      </c>
      <c r="G730" s="14">
        <f t="shared" si="23"/>
        <v>42.8666666666667</v>
      </c>
    </row>
    <row r="731" ht="18" customHeight="1" spans="1:7">
      <c r="A731" s="12">
        <v>729</v>
      </c>
      <c r="B731" s="12" t="s">
        <v>22</v>
      </c>
      <c r="C731" s="12" t="str">
        <f>"202205292509"</f>
        <v>202205292509</v>
      </c>
      <c r="D731" s="14">
        <v>80.4</v>
      </c>
      <c r="E731" s="14">
        <v>54</v>
      </c>
      <c r="F731" s="14">
        <f t="shared" si="22"/>
        <v>134.4</v>
      </c>
      <c r="G731" s="14">
        <f t="shared" si="23"/>
        <v>53.8</v>
      </c>
    </row>
    <row r="732" ht="18" customHeight="1" spans="1:7">
      <c r="A732" s="12">
        <v>730</v>
      </c>
      <c r="B732" s="12" t="s">
        <v>22</v>
      </c>
      <c r="C732" s="12" t="str">
        <f>"202205292510"</f>
        <v>202205292510</v>
      </c>
      <c r="D732" s="14">
        <v>70.6</v>
      </c>
      <c r="E732" s="14">
        <v>52</v>
      </c>
      <c r="F732" s="14">
        <f t="shared" si="22"/>
        <v>122.6</v>
      </c>
      <c r="G732" s="14">
        <f t="shared" si="23"/>
        <v>49.5333333333333</v>
      </c>
    </row>
    <row r="733" ht="18" customHeight="1" spans="1:7">
      <c r="A733" s="12">
        <v>731</v>
      </c>
      <c r="B733" s="12" t="s">
        <v>22</v>
      </c>
      <c r="C733" s="12" t="str">
        <f>"202205292511"</f>
        <v>202205292511</v>
      </c>
      <c r="D733" s="14">
        <v>0</v>
      </c>
      <c r="E733" s="14">
        <v>0</v>
      </c>
      <c r="F733" s="14">
        <f t="shared" si="22"/>
        <v>0</v>
      </c>
      <c r="G733" s="14">
        <f t="shared" si="23"/>
        <v>0</v>
      </c>
    </row>
    <row r="734" ht="18" customHeight="1" spans="1:7">
      <c r="A734" s="12">
        <v>732</v>
      </c>
      <c r="B734" s="12" t="s">
        <v>22</v>
      </c>
      <c r="C734" s="12" t="str">
        <f>"202205292512"</f>
        <v>202205292512</v>
      </c>
      <c r="D734" s="14">
        <v>72</v>
      </c>
      <c r="E734" s="14">
        <v>32</v>
      </c>
      <c r="F734" s="14">
        <f t="shared" si="22"/>
        <v>104</v>
      </c>
      <c r="G734" s="14">
        <f t="shared" si="23"/>
        <v>40</v>
      </c>
    </row>
    <row r="735" ht="18" customHeight="1" spans="1:7">
      <c r="A735" s="12">
        <v>733</v>
      </c>
      <c r="B735" s="12" t="s">
        <v>22</v>
      </c>
      <c r="C735" s="12" t="str">
        <f>"202205292513"</f>
        <v>202205292513</v>
      </c>
      <c r="D735" s="14">
        <v>81.4</v>
      </c>
      <c r="E735" s="14">
        <v>78</v>
      </c>
      <c r="F735" s="14">
        <f t="shared" si="22"/>
        <v>159.4</v>
      </c>
      <c r="G735" s="14">
        <f t="shared" si="23"/>
        <v>66.1333333333333</v>
      </c>
    </row>
    <row r="736" ht="18" customHeight="1" spans="1:7">
      <c r="A736" s="12">
        <v>734</v>
      </c>
      <c r="B736" s="12" t="s">
        <v>22</v>
      </c>
      <c r="C736" s="12" t="str">
        <f>"202205292514"</f>
        <v>202205292514</v>
      </c>
      <c r="D736" s="14">
        <v>0</v>
      </c>
      <c r="E736" s="14">
        <v>0</v>
      </c>
      <c r="F736" s="14">
        <f t="shared" si="22"/>
        <v>0</v>
      </c>
      <c r="G736" s="14">
        <f t="shared" si="23"/>
        <v>0</v>
      </c>
    </row>
    <row r="737" ht="18" customHeight="1" spans="1:7">
      <c r="A737" s="12">
        <v>735</v>
      </c>
      <c r="B737" s="12" t="s">
        <v>22</v>
      </c>
      <c r="C737" s="12" t="str">
        <f>"202205292515"</f>
        <v>202205292515</v>
      </c>
      <c r="D737" s="14">
        <v>46.6</v>
      </c>
      <c r="E737" s="14">
        <v>23</v>
      </c>
      <c r="F737" s="14">
        <f t="shared" si="22"/>
        <v>69.6</v>
      </c>
      <c r="G737" s="14">
        <f t="shared" si="23"/>
        <v>27.0333333333333</v>
      </c>
    </row>
    <row r="738" ht="18" customHeight="1" spans="1:7">
      <c r="A738" s="12">
        <v>736</v>
      </c>
      <c r="B738" s="12" t="s">
        <v>22</v>
      </c>
      <c r="C738" s="12" t="str">
        <f>"202205292516"</f>
        <v>202205292516</v>
      </c>
      <c r="D738" s="14">
        <v>0</v>
      </c>
      <c r="E738" s="14">
        <v>0</v>
      </c>
      <c r="F738" s="14">
        <f t="shared" si="22"/>
        <v>0</v>
      </c>
      <c r="G738" s="14">
        <f t="shared" si="23"/>
        <v>0</v>
      </c>
    </row>
    <row r="739" ht="18" customHeight="1" spans="1:7">
      <c r="A739" s="12">
        <v>737</v>
      </c>
      <c r="B739" s="12" t="s">
        <v>22</v>
      </c>
      <c r="C739" s="12" t="str">
        <f>"202205292517"</f>
        <v>202205292517</v>
      </c>
      <c r="D739" s="14">
        <v>75.8</v>
      </c>
      <c r="E739" s="14">
        <v>33</v>
      </c>
      <c r="F739" s="14">
        <f t="shared" si="22"/>
        <v>108.8</v>
      </c>
      <c r="G739" s="14">
        <f t="shared" si="23"/>
        <v>41.7666666666667</v>
      </c>
    </row>
    <row r="740" ht="18" customHeight="1" spans="1:7">
      <c r="A740" s="12">
        <v>738</v>
      </c>
      <c r="B740" s="12" t="s">
        <v>22</v>
      </c>
      <c r="C740" s="12" t="str">
        <f>"202205292518"</f>
        <v>202205292518</v>
      </c>
      <c r="D740" s="14">
        <v>0</v>
      </c>
      <c r="E740" s="14">
        <v>0</v>
      </c>
      <c r="F740" s="14">
        <f t="shared" si="22"/>
        <v>0</v>
      </c>
      <c r="G740" s="14">
        <f t="shared" si="23"/>
        <v>0</v>
      </c>
    </row>
    <row r="741" ht="18" customHeight="1" spans="1:7">
      <c r="A741" s="12">
        <v>739</v>
      </c>
      <c r="B741" s="12" t="s">
        <v>22</v>
      </c>
      <c r="C741" s="12" t="str">
        <f>"202205292519"</f>
        <v>202205292519</v>
      </c>
      <c r="D741" s="14">
        <v>0</v>
      </c>
      <c r="E741" s="14">
        <v>0</v>
      </c>
      <c r="F741" s="14">
        <f t="shared" si="22"/>
        <v>0</v>
      </c>
      <c r="G741" s="14">
        <f t="shared" si="23"/>
        <v>0</v>
      </c>
    </row>
    <row r="742" ht="18" customHeight="1" spans="1:7">
      <c r="A742" s="12">
        <v>740</v>
      </c>
      <c r="B742" s="12" t="s">
        <v>22</v>
      </c>
      <c r="C742" s="12" t="str">
        <f>"202205292520"</f>
        <v>202205292520</v>
      </c>
      <c r="D742" s="14">
        <v>0</v>
      </c>
      <c r="E742" s="14">
        <v>0</v>
      </c>
      <c r="F742" s="14">
        <f t="shared" si="22"/>
        <v>0</v>
      </c>
      <c r="G742" s="14">
        <f t="shared" si="23"/>
        <v>0</v>
      </c>
    </row>
    <row r="743" ht="18" customHeight="1" spans="1:7">
      <c r="A743" s="12">
        <v>741</v>
      </c>
      <c r="B743" s="12" t="s">
        <v>22</v>
      </c>
      <c r="C743" s="12" t="str">
        <f>"202205292521"</f>
        <v>202205292521</v>
      </c>
      <c r="D743" s="14">
        <v>0</v>
      </c>
      <c r="E743" s="14">
        <v>0</v>
      </c>
      <c r="F743" s="14">
        <f t="shared" si="22"/>
        <v>0</v>
      </c>
      <c r="G743" s="14">
        <f t="shared" si="23"/>
        <v>0</v>
      </c>
    </row>
    <row r="744" ht="18" customHeight="1" spans="1:7">
      <c r="A744" s="12">
        <v>742</v>
      </c>
      <c r="B744" s="12" t="s">
        <v>22</v>
      </c>
      <c r="C744" s="12" t="str">
        <f>"202205292522"</f>
        <v>202205292522</v>
      </c>
      <c r="D744" s="14">
        <v>0</v>
      </c>
      <c r="E744" s="14">
        <v>0</v>
      </c>
      <c r="F744" s="14">
        <f t="shared" si="22"/>
        <v>0</v>
      </c>
      <c r="G744" s="14">
        <f t="shared" si="23"/>
        <v>0</v>
      </c>
    </row>
    <row r="745" ht="18" customHeight="1" spans="1:7">
      <c r="A745" s="12">
        <v>743</v>
      </c>
      <c r="B745" s="12" t="s">
        <v>22</v>
      </c>
      <c r="C745" s="12" t="str">
        <f>"202205292523"</f>
        <v>202205292523</v>
      </c>
      <c r="D745" s="14">
        <v>76.8</v>
      </c>
      <c r="E745" s="14">
        <v>52</v>
      </c>
      <c r="F745" s="14">
        <f t="shared" si="22"/>
        <v>128.8</v>
      </c>
      <c r="G745" s="14">
        <f t="shared" si="23"/>
        <v>51.6</v>
      </c>
    </row>
    <row r="746" ht="18" customHeight="1" spans="1:7">
      <c r="A746" s="12">
        <v>744</v>
      </c>
      <c r="B746" s="12" t="s">
        <v>22</v>
      </c>
      <c r="C746" s="12" t="str">
        <f>"202205292524"</f>
        <v>202205292524</v>
      </c>
      <c r="D746" s="14">
        <v>75.6</v>
      </c>
      <c r="E746" s="14">
        <v>35</v>
      </c>
      <c r="F746" s="14">
        <f t="shared" si="22"/>
        <v>110.6</v>
      </c>
      <c r="G746" s="14">
        <f t="shared" si="23"/>
        <v>42.7</v>
      </c>
    </row>
    <row r="747" ht="18" customHeight="1" spans="1:7">
      <c r="A747" s="12">
        <v>745</v>
      </c>
      <c r="B747" s="12" t="s">
        <v>22</v>
      </c>
      <c r="C747" s="12" t="str">
        <f>"202205292525"</f>
        <v>202205292525</v>
      </c>
      <c r="D747" s="14">
        <v>85</v>
      </c>
      <c r="E747" s="14">
        <v>40</v>
      </c>
      <c r="F747" s="14">
        <f t="shared" si="22"/>
        <v>125</v>
      </c>
      <c r="G747" s="14">
        <f t="shared" si="23"/>
        <v>48.3333333333333</v>
      </c>
    </row>
    <row r="748" ht="18" customHeight="1" spans="1:7">
      <c r="A748" s="12">
        <v>746</v>
      </c>
      <c r="B748" s="12" t="s">
        <v>22</v>
      </c>
      <c r="C748" s="12" t="str">
        <f>"202205292526"</f>
        <v>202205292526</v>
      </c>
      <c r="D748" s="14">
        <v>0</v>
      </c>
      <c r="E748" s="14">
        <v>0</v>
      </c>
      <c r="F748" s="14">
        <f t="shared" si="22"/>
        <v>0</v>
      </c>
      <c r="G748" s="14">
        <f t="shared" si="23"/>
        <v>0</v>
      </c>
    </row>
    <row r="749" ht="18" customHeight="1" spans="1:7">
      <c r="A749" s="12">
        <v>747</v>
      </c>
      <c r="B749" s="12" t="s">
        <v>22</v>
      </c>
      <c r="C749" s="12" t="str">
        <f>"202205292527"</f>
        <v>202205292527</v>
      </c>
      <c r="D749" s="14">
        <v>0</v>
      </c>
      <c r="E749" s="14">
        <v>0</v>
      </c>
      <c r="F749" s="14">
        <f t="shared" si="22"/>
        <v>0</v>
      </c>
      <c r="G749" s="14">
        <f t="shared" si="23"/>
        <v>0</v>
      </c>
    </row>
    <row r="750" ht="18" customHeight="1" spans="1:7">
      <c r="A750" s="12">
        <v>748</v>
      </c>
      <c r="B750" s="12" t="s">
        <v>22</v>
      </c>
      <c r="C750" s="12" t="str">
        <f>"202205292528"</f>
        <v>202205292528</v>
      </c>
      <c r="D750" s="14">
        <v>71.4</v>
      </c>
      <c r="E750" s="14">
        <v>39</v>
      </c>
      <c r="F750" s="14">
        <f t="shared" si="22"/>
        <v>110.4</v>
      </c>
      <c r="G750" s="14">
        <f t="shared" si="23"/>
        <v>43.3</v>
      </c>
    </row>
    <row r="751" ht="18" customHeight="1" spans="1:7">
      <c r="A751" s="12">
        <v>749</v>
      </c>
      <c r="B751" s="12" t="s">
        <v>22</v>
      </c>
      <c r="C751" s="12" t="str">
        <f>"202205292529"</f>
        <v>202205292529</v>
      </c>
      <c r="D751" s="14">
        <v>77.8</v>
      </c>
      <c r="E751" s="14">
        <v>45</v>
      </c>
      <c r="F751" s="14">
        <f t="shared" si="22"/>
        <v>122.8</v>
      </c>
      <c r="G751" s="14">
        <f t="shared" si="23"/>
        <v>48.4333333333333</v>
      </c>
    </row>
    <row r="752" ht="18" customHeight="1" spans="1:7">
      <c r="A752" s="12">
        <v>750</v>
      </c>
      <c r="B752" s="12" t="s">
        <v>22</v>
      </c>
      <c r="C752" s="12" t="str">
        <f>"202205292530"</f>
        <v>202205292530</v>
      </c>
      <c r="D752" s="14">
        <v>0</v>
      </c>
      <c r="E752" s="14">
        <v>0</v>
      </c>
      <c r="F752" s="14">
        <f t="shared" si="22"/>
        <v>0</v>
      </c>
      <c r="G752" s="14">
        <f t="shared" si="23"/>
        <v>0</v>
      </c>
    </row>
    <row r="753" ht="18" customHeight="1" spans="1:7">
      <c r="A753" s="12">
        <v>751</v>
      </c>
      <c r="B753" s="12" t="s">
        <v>22</v>
      </c>
      <c r="C753" s="12" t="str">
        <f>"202205292601"</f>
        <v>202205292601</v>
      </c>
      <c r="D753" s="14">
        <v>73</v>
      </c>
      <c r="E753" s="14">
        <v>41</v>
      </c>
      <c r="F753" s="14">
        <f t="shared" si="22"/>
        <v>114</v>
      </c>
      <c r="G753" s="14">
        <f t="shared" si="23"/>
        <v>44.8333333333333</v>
      </c>
    </row>
    <row r="754" ht="18" customHeight="1" spans="1:7">
      <c r="A754" s="12">
        <v>752</v>
      </c>
      <c r="B754" s="12" t="s">
        <v>22</v>
      </c>
      <c r="C754" s="12" t="str">
        <f>"202205292602"</f>
        <v>202205292602</v>
      </c>
      <c r="D754" s="14">
        <v>77.6</v>
      </c>
      <c r="E754" s="14">
        <v>47</v>
      </c>
      <c r="F754" s="14">
        <f t="shared" si="22"/>
        <v>124.6</v>
      </c>
      <c r="G754" s="14">
        <f t="shared" si="23"/>
        <v>49.3666666666667</v>
      </c>
    </row>
    <row r="755" ht="18" customHeight="1" spans="1:7">
      <c r="A755" s="12">
        <v>753</v>
      </c>
      <c r="B755" s="12" t="s">
        <v>22</v>
      </c>
      <c r="C755" s="12" t="str">
        <f>"202205292603"</f>
        <v>202205292603</v>
      </c>
      <c r="D755" s="14">
        <v>71.8</v>
      </c>
      <c r="E755" s="14">
        <v>50</v>
      </c>
      <c r="F755" s="14">
        <f t="shared" si="22"/>
        <v>121.8</v>
      </c>
      <c r="G755" s="14">
        <f t="shared" si="23"/>
        <v>48.9333333333333</v>
      </c>
    </row>
    <row r="756" ht="18" customHeight="1" spans="1:7">
      <c r="A756" s="12">
        <v>754</v>
      </c>
      <c r="B756" s="12" t="s">
        <v>22</v>
      </c>
      <c r="C756" s="12" t="str">
        <f>"202205292604"</f>
        <v>202205292604</v>
      </c>
      <c r="D756" s="14">
        <v>0</v>
      </c>
      <c r="E756" s="14">
        <v>0</v>
      </c>
      <c r="F756" s="14">
        <f t="shared" si="22"/>
        <v>0</v>
      </c>
      <c r="G756" s="14">
        <f t="shared" si="23"/>
        <v>0</v>
      </c>
    </row>
    <row r="757" ht="18" customHeight="1" spans="1:7">
      <c r="A757" s="12">
        <v>755</v>
      </c>
      <c r="B757" s="12" t="s">
        <v>22</v>
      </c>
      <c r="C757" s="12" t="str">
        <f>"202205292605"</f>
        <v>202205292605</v>
      </c>
      <c r="D757" s="14">
        <v>0</v>
      </c>
      <c r="E757" s="14">
        <v>0</v>
      </c>
      <c r="F757" s="14">
        <f t="shared" si="22"/>
        <v>0</v>
      </c>
      <c r="G757" s="14">
        <f t="shared" si="23"/>
        <v>0</v>
      </c>
    </row>
    <row r="758" ht="18" customHeight="1" spans="1:7">
      <c r="A758" s="12">
        <v>756</v>
      </c>
      <c r="B758" s="12" t="s">
        <v>22</v>
      </c>
      <c r="C758" s="12" t="str">
        <f>"202205292606"</f>
        <v>202205292606</v>
      </c>
      <c r="D758" s="14">
        <v>74.8</v>
      </c>
      <c r="E758" s="14">
        <v>48</v>
      </c>
      <c r="F758" s="14">
        <f t="shared" si="22"/>
        <v>122.8</v>
      </c>
      <c r="G758" s="14">
        <f t="shared" si="23"/>
        <v>48.9333333333333</v>
      </c>
    </row>
    <row r="759" ht="18" customHeight="1" spans="1:7">
      <c r="A759" s="12">
        <v>757</v>
      </c>
      <c r="B759" s="12" t="s">
        <v>22</v>
      </c>
      <c r="C759" s="12" t="str">
        <f>"202205292607"</f>
        <v>202205292607</v>
      </c>
      <c r="D759" s="14">
        <v>67.2</v>
      </c>
      <c r="E759" s="14">
        <v>70</v>
      </c>
      <c r="F759" s="14">
        <f t="shared" si="22"/>
        <v>137.2</v>
      </c>
      <c r="G759" s="14">
        <f t="shared" si="23"/>
        <v>57.4</v>
      </c>
    </row>
    <row r="760" ht="18" customHeight="1" spans="1:7">
      <c r="A760" s="12">
        <v>758</v>
      </c>
      <c r="B760" s="12" t="s">
        <v>22</v>
      </c>
      <c r="C760" s="12" t="str">
        <f>"202205292608"</f>
        <v>202205292608</v>
      </c>
      <c r="D760" s="14">
        <v>0</v>
      </c>
      <c r="E760" s="14">
        <v>0</v>
      </c>
      <c r="F760" s="14">
        <f t="shared" si="22"/>
        <v>0</v>
      </c>
      <c r="G760" s="14">
        <f t="shared" si="23"/>
        <v>0</v>
      </c>
    </row>
    <row r="761" ht="18" customHeight="1" spans="1:7">
      <c r="A761" s="12">
        <v>759</v>
      </c>
      <c r="B761" s="12" t="s">
        <v>22</v>
      </c>
      <c r="C761" s="12" t="str">
        <f>"202205292609"</f>
        <v>202205292609</v>
      </c>
      <c r="D761" s="14">
        <v>78.4</v>
      </c>
      <c r="E761" s="14">
        <v>36</v>
      </c>
      <c r="F761" s="14">
        <f t="shared" si="22"/>
        <v>114.4</v>
      </c>
      <c r="G761" s="14">
        <f t="shared" si="23"/>
        <v>44.1333333333333</v>
      </c>
    </row>
    <row r="762" ht="18" customHeight="1" spans="1:7">
      <c r="A762" s="12">
        <v>760</v>
      </c>
      <c r="B762" s="12" t="s">
        <v>22</v>
      </c>
      <c r="C762" s="12" t="str">
        <f>"202205292610"</f>
        <v>202205292610</v>
      </c>
      <c r="D762" s="14">
        <v>0</v>
      </c>
      <c r="E762" s="14">
        <v>0</v>
      </c>
      <c r="F762" s="14">
        <f t="shared" si="22"/>
        <v>0</v>
      </c>
      <c r="G762" s="14">
        <f t="shared" si="23"/>
        <v>0</v>
      </c>
    </row>
    <row r="763" ht="18" customHeight="1" spans="1:7">
      <c r="A763" s="12">
        <v>761</v>
      </c>
      <c r="B763" s="12" t="s">
        <v>22</v>
      </c>
      <c r="C763" s="12" t="str">
        <f>"202205292611"</f>
        <v>202205292611</v>
      </c>
      <c r="D763" s="14">
        <v>0</v>
      </c>
      <c r="E763" s="14">
        <v>0</v>
      </c>
      <c r="F763" s="14">
        <f t="shared" si="22"/>
        <v>0</v>
      </c>
      <c r="G763" s="14">
        <f t="shared" si="23"/>
        <v>0</v>
      </c>
    </row>
    <row r="764" ht="18" customHeight="1" spans="1:7">
      <c r="A764" s="12">
        <v>762</v>
      </c>
      <c r="B764" s="12" t="s">
        <v>22</v>
      </c>
      <c r="C764" s="12" t="str">
        <f>"202205292612"</f>
        <v>202205292612</v>
      </c>
      <c r="D764" s="14">
        <v>66.4</v>
      </c>
      <c r="E764" s="14">
        <v>33</v>
      </c>
      <c r="F764" s="14">
        <f t="shared" si="22"/>
        <v>99.4</v>
      </c>
      <c r="G764" s="14">
        <f t="shared" si="23"/>
        <v>38.6333333333333</v>
      </c>
    </row>
    <row r="765" ht="18" customHeight="1" spans="1:7">
      <c r="A765" s="12">
        <v>763</v>
      </c>
      <c r="B765" s="12" t="s">
        <v>22</v>
      </c>
      <c r="C765" s="12" t="str">
        <f>"202205292613"</f>
        <v>202205292613</v>
      </c>
      <c r="D765" s="14">
        <v>75.2</v>
      </c>
      <c r="E765" s="14">
        <v>44</v>
      </c>
      <c r="F765" s="14">
        <f t="shared" si="22"/>
        <v>119.2</v>
      </c>
      <c r="G765" s="14">
        <f t="shared" si="23"/>
        <v>47.0666666666667</v>
      </c>
    </row>
    <row r="766" ht="18" customHeight="1" spans="1:7">
      <c r="A766" s="12">
        <v>764</v>
      </c>
      <c r="B766" s="12" t="s">
        <v>22</v>
      </c>
      <c r="C766" s="12" t="str">
        <f>"202205292614"</f>
        <v>202205292614</v>
      </c>
      <c r="D766" s="14">
        <v>0</v>
      </c>
      <c r="E766" s="14">
        <v>0</v>
      </c>
      <c r="F766" s="14">
        <f t="shared" si="22"/>
        <v>0</v>
      </c>
      <c r="G766" s="14">
        <f t="shared" si="23"/>
        <v>0</v>
      </c>
    </row>
    <row r="767" ht="18" customHeight="1" spans="1:7">
      <c r="A767" s="12">
        <v>765</v>
      </c>
      <c r="B767" s="12" t="s">
        <v>22</v>
      </c>
      <c r="C767" s="12" t="str">
        <f>"202205292615"</f>
        <v>202205292615</v>
      </c>
      <c r="D767" s="14">
        <v>80</v>
      </c>
      <c r="E767" s="14">
        <v>57</v>
      </c>
      <c r="F767" s="14">
        <f t="shared" si="22"/>
        <v>137</v>
      </c>
      <c r="G767" s="14">
        <f t="shared" si="23"/>
        <v>55.1666666666667</v>
      </c>
    </row>
    <row r="768" ht="18" customHeight="1" spans="1:7">
      <c r="A768" s="12">
        <v>766</v>
      </c>
      <c r="B768" s="12" t="s">
        <v>22</v>
      </c>
      <c r="C768" s="12" t="str">
        <f>"202205292616"</f>
        <v>202205292616</v>
      </c>
      <c r="D768" s="14">
        <v>69</v>
      </c>
      <c r="E768" s="14">
        <v>17</v>
      </c>
      <c r="F768" s="14">
        <f t="shared" si="22"/>
        <v>86</v>
      </c>
      <c r="G768" s="14">
        <f t="shared" si="23"/>
        <v>31.5</v>
      </c>
    </row>
    <row r="769" ht="18" customHeight="1" spans="1:7">
      <c r="A769" s="12">
        <v>767</v>
      </c>
      <c r="B769" s="12" t="s">
        <v>22</v>
      </c>
      <c r="C769" s="12" t="str">
        <f>"202205292617"</f>
        <v>202205292617</v>
      </c>
      <c r="D769" s="14">
        <v>74.4</v>
      </c>
      <c r="E769" s="14">
        <v>15</v>
      </c>
      <c r="F769" s="14">
        <f t="shared" si="22"/>
        <v>89.4</v>
      </c>
      <c r="G769" s="14">
        <f t="shared" si="23"/>
        <v>32.3</v>
      </c>
    </row>
    <row r="770" ht="18" customHeight="1" spans="1:7">
      <c r="A770" s="12">
        <v>768</v>
      </c>
      <c r="B770" s="12" t="s">
        <v>22</v>
      </c>
      <c r="C770" s="12" t="str">
        <f>"202205292618"</f>
        <v>202205292618</v>
      </c>
      <c r="D770" s="14">
        <v>0</v>
      </c>
      <c r="E770" s="14">
        <v>0</v>
      </c>
      <c r="F770" s="14">
        <f t="shared" si="22"/>
        <v>0</v>
      </c>
      <c r="G770" s="14">
        <f t="shared" si="23"/>
        <v>0</v>
      </c>
    </row>
    <row r="771" ht="18" customHeight="1" spans="1:7">
      <c r="A771" s="12">
        <v>769</v>
      </c>
      <c r="B771" s="12" t="s">
        <v>22</v>
      </c>
      <c r="C771" s="12" t="str">
        <f>"202205292619"</f>
        <v>202205292619</v>
      </c>
      <c r="D771" s="14">
        <v>0</v>
      </c>
      <c r="E771" s="14">
        <v>0</v>
      </c>
      <c r="F771" s="14">
        <f t="shared" si="22"/>
        <v>0</v>
      </c>
      <c r="G771" s="14">
        <f t="shared" si="23"/>
        <v>0</v>
      </c>
    </row>
    <row r="772" ht="18" customHeight="1" spans="1:7">
      <c r="A772" s="12">
        <v>770</v>
      </c>
      <c r="B772" s="12" t="s">
        <v>22</v>
      </c>
      <c r="C772" s="12" t="str">
        <f>"202205292620"</f>
        <v>202205292620</v>
      </c>
      <c r="D772" s="14">
        <v>0</v>
      </c>
      <c r="E772" s="14">
        <v>0</v>
      </c>
      <c r="F772" s="14">
        <f t="shared" ref="F772:F835" si="24">D772+E772</f>
        <v>0</v>
      </c>
      <c r="G772" s="14">
        <f t="shared" ref="G772:G835" si="25">D772/1.2*0.4+E772/1.2*0.6</f>
        <v>0</v>
      </c>
    </row>
    <row r="773" ht="18" customHeight="1" spans="1:7">
      <c r="A773" s="12">
        <v>771</v>
      </c>
      <c r="B773" s="12" t="s">
        <v>22</v>
      </c>
      <c r="C773" s="12" t="str">
        <f>"202205292621"</f>
        <v>202205292621</v>
      </c>
      <c r="D773" s="14">
        <v>90.2</v>
      </c>
      <c r="E773" s="14">
        <v>68</v>
      </c>
      <c r="F773" s="14">
        <f t="shared" si="24"/>
        <v>158.2</v>
      </c>
      <c r="G773" s="14">
        <f t="shared" si="25"/>
        <v>64.0666666666667</v>
      </c>
    </row>
    <row r="774" ht="18" customHeight="1" spans="1:7">
      <c r="A774" s="12">
        <v>772</v>
      </c>
      <c r="B774" s="12" t="s">
        <v>22</v>
      </c>
      <c r="C774" s="12" t="str">
        <f>"202205292622"</f>
        <v>202205292622</v>
      </c>
      <c r="D774" s="14">
        <v>66.6</v>
      </c>
      <c r="E774" s="14">
        <v>43</v>
      </c>
      <c r="F774" s="14">
        <f t="shared" si="24"/>
        <v>109.6</v>
      </c>
      <c r="G774" s="14">
        <f t="shared" si="25"/>
        <v>43.7</v>
      </c>
    </row>
    <row r="775" ht="18" customHeight="1" spans="1:7">
      <c r="A775" s="12">
        <v>773</v>
      </c>
      <c r="B775" s="12" t="s">
        <v>22</v>
      </c>
      <c r="C775" s="12" t="str">
        <f>"202205292623"</f>
        <v>202205292623</v>
      </c>
      <c r="D775" s="14">
        <v>72</v>
      </c>
      <c r="E775" s="14">
        <v>8</v>
      </c>
      <c r="F775" s="14">
        <f t="shared" si="24"/>
        <v>80</v>
      </c>
      <c r="G775" s="14">
        <f t="shared" si="25"/>
        <v>28</v>
      </c>
    </row>
    <row r="776" ht="18" customHeight="1" spans="1:7">
      <c r="A776" s="12">
        <v>774</v>
      </c>
      <c r="B776" s="12" t="s">
        <v>22</v>
      </c>
      <c r="C776" s="12" t="str">
        <f>"202205292624"</f>
        <v>202205292624</v>
      </c>
      <c r="D776" s="14">
        <v>86.8</v>
      </c>
      <c r="E776" s="14">
        <v>16</v>
      </c>
      <c r="F776" s="14">
        <f t="shared" si="24"/>
        <v>102.8</v>
      </c>
      <c r="G776" s="14">
        <f t="shared" si="25"/>
        <v>36.9333333333333</v>
      </c>
    </row>
    <row r="777" ht="18" customHeight="1" spans="1:7">
      <c r="A777" s="12">
        <v>775</v>
      </c>
      <c r="B777" s="12" t="s">
        <v>22</v>
      </c>
      <c r="C777" s="12" t="str">
        <f>"202205292625"</f>
        <v>202205292625</v>
      </c>
      <c r="D777" s="14">
        <v>0</v>
      </c>
      <c r="E777" s="14">
        <v>0</v>
      </c>
      <c r="F777" s="14">
        <f t="shared" si="24"/>
        <v>0</v>
      </c>
      <c r="G777" s="14">
        <f t="shared" si="25"/>
        <v>0</v>
      </c>
    </row>
    <row r="778" ht="18" customHeight="1" spans="1:7">
      <c r="A778" s="12">
        <v>776</v>
      </c>
      <c r="B778" s="12" t="s">
        <v>22</v>
      </c>
      <c r="C778" s="12" t="str">
        <f>"202205292626"</f>
        <v>202205292626</v>
      </c>
      <c r="D778" s="14">
        <v>0</v>
      </c>
      <c r="E778" s="14">
        <v>0</v>
      </c>
      <c r="F778" s="14">
        <f t="shared" si="24"/>
        <v>0</v>
      </c>
      <c r="G778" s="14">
        <f t="shared" si="25"/>
        <v>0</v>
      </c>
    </row>
    <row r="779" ht="18" customHeight="1" spans="1:7">
      <c r="A779" s="12">
        <v>777</v>
      </c>
      <c r="B779" s="12" t="s">
        <v>22</v>
      </c>
      <c r="C779" s="12" t="str">
        <f>"202205292627"</f>
        <v>202205292627</v>
      </c>
      <c r="D779" s="14">
        <v>56.6</v>
      </c>
      <c r="E779" s="14">
        <v>44</v>
      </c>
      <c r="F779" s="14">
        <f t="shared" si="24"/>
        <v>100.6</v>
      </c>
      <c r="G779" s="14">
        <f t="shared" si="25"/>
        <v>40.8666666666667</v>
      </c>
    </row>
    <row r="780" ht="18" customHeight="1" spans="1:7">
      <c r="A780" s="12">
        <v>778</v>
      </c>
      <c r="B780" s="12" t="s">
        <v>22</v>
      </c>
      <c r="C780" s="12" t="str">
        <f>"202205292628"</f>
        <v>202205292628</v>
      </c>
      <c r="D780" s="14">
        <v>0</v>
      </c>
      <c r="E780" s="14">
        <v>0</v>
      </c>
      <c r="F780" s="14">
        <f t="shared" si="24"/>
        <v>0</v>
      </c>
      <c r="G780" s="14">
        <f t="shared" si="25"/>
        <v>0</v>
      </c>
    </row>
    <row r="781" ht="18" customHeight="1" spans="1:7">
      <c r="A781" s="12">
        <v>779</v>
      </c>
      <c r="B781" s="12" t="s">
        <v>22</v>
      </c>
      <c r="C781" s="12" t="str">
        <f>"202205292629"</f>
        <v>202205292629</v>
      </c>
      <c r="D781" s="14">
        <v>77.6</v>
      </c>
      <c r="E781" s="14">
        <v>46</v>
      </c>
      <c r="F781" s="14">
        <f t="shared" si="24"/>
        <v>123.6</v>
      </c>
      <c r="G781" s="14">
        <f t="shared" si="25"/>
        <v>48.8666666666667</v>
      </c>
    </row>
    <row r="782" ht="18" customHeight="1" spans="1:7">
      <c r="A782" s="12">
        <v>780</v>
      </c>
      <c r="B782" s="12" t="s">
        <v>22</v>
      </c>
      <c r="C782" s="12" t="str">
        <f>"202205292630"</f>
        <v>202205292630</v>
      </c>
      <c r="D782" s="14">
        <v>72.8</v>
      </c>
      <c r="E782" s="14">
        <v>10</v>
      </c>
      <c r="F782" s="14">
        <f t="shared" si="24"/>
        <v>82.8</v>
      </c>
      <c r="G782" s="14">
        <f t="shared" si="25"/>
        <v>29.2666666666667</v>
      </c>
    </row>
    <row r="783" ht="18" customHeight="1" spans="1:7">
      <c r="A783" s="12">
        <v>781</v>
      </c>
      <c r="B783" s="12" t="s">
        <v>22</v>
      </c>
      <c r="C783" s="12" t="str">
        <f>"202205292701"</f>
        <v>202205292701</v>
      </c>
      <c r="D783" s="14">
        <v>73.4</v>
      </c>
      <c r="E783" s="14">
        <v>45</v>
      </c>
      <c r="F783" s="14">
        <f t="shared" si="24"/>
        <v>118.4</v>
      </c>
      <c r="G783" s="14">
        <f t="shared" si="25"/>
        <v>46.9666666666667</v>
      </c>
    </row>
    <row r="784" ht="18" customHeight="1" spans="1:7">
      <c r="A784" s="12">
        <v>782</v>
      </c>
      <c r="B784" s="12" t="s">
        <v>22</v>
      </c>
      <c r="C784" s="12" t="str">
        <f>"202205292702"</f>
        <v>202205292702</v>
      </c>
      <c r="D784" s="14">
        <v>73.6</v>
      </c>
      <c r="E784" s="14">
        <v>41</v>
      </c>
      <c r="F784" s="14">
        <f t="shared" si="24"/>
        <v>114.6</v>
      </c>
      <c r="G784" s="14">
        <f t="shared" si="25"/>
        <v>45.0333333333333</v>
      </c>
    </row>
    <row r="785" ht="18" customHeight="1" spans="1:7">
      <c r="A785" s="12">
        <v>783</v>
      </c>
      <c r="B785" s="12" t="s">
        <v>22</v>
      </c>
      <c r="C785" s="12" t="str">
        <f>"202205292703"</f>
        <v>202205292703</v>
      </c>
      <c r="D785" s="14">
        <v>68.8</v>
      </c>
      <c r="E785" s="14">
        <v>16</v>
      </c>
      <c r="F785" s="14">
        <f t="shared" si="24"/>
        <v>84.8</v>
      </c>
      <c r="G785" s="14">
        <f t="shared" si="25"/>
        <v>30.9333333333333</v>
      </c>
    </row>
    <row r="786" ht="18" customHeight="1" spans="1:7">
      <c r="A786" s="12">
        <v>784</v>
      </c>
      <c r="B786" s="12" t="s">
        <v>22</v>
      </c>
      <c r="C786" s="12" t="str">
        <f>"202205292704"</f>
        <v>202205292704</v>
      </c>
      <c r="D786" s="14">
        <v>77.6</v>
      </c>
      <c r="E786" s="14">
        <v>56</v>
      </c>
      <c r="F786" s="14">
        <f t="shared" si="24"/>
        <v>133.6</v>
      </c>
      <c r="G786" s="14">
        <f t="shared" si="25"/>
        <v>53.8666666666667</v>
      </c>
    </row>
    <row r="787" ht="18" customHeight="1" spans="1:7">
      <c r="A787" s="12">
        <v>785</v>
      </c>
      <c r="B787" s="12" t="s">
        <v>22</v>
      </c>
      <c r="C787" s="12" t="str">
        <f>"202205292705"</f>
        <v>202205292705</v>
      </c>
      <c r="D787" s="14">
        <v>74.2</v>
      </c>
      <c r="E787" s="14">
        <v>20</v>
      </c>
      <c r="F787" s="14">
        <f t="shared" si="24"/>
        <v>94.2</v>
      </c>
      <c r="G787" s="14">
        <f t="shared" si="25"/>
        <v>34.7333333333333</v>
      </c>
    </row>
    <row r="788" ht="18" customHeight="1" spans="1:7">
      <c r="A788" s="12">
        <v>786</v>
      </c>
      <c r="B788" s="12" t="s">
        <v>22</v>
      </c>
      <c r="C788" s="12" t="str">
        <f>"202205292706"</f>
        <v>202205292706</v>
      </c>
      <c r="D788" s="14">
        <v>0</v>
      </c>
      <c r="E788" s="14">
        <v>0</v>
      </c>
      <c r="F788" s="14">
        <f t="shared" si="24"/>
        <v>0</v>
      </c>
      <c r="G788" s="14">
        <f t="shared" si="25"/>
        <v>0</v>
      </c>
    </row>
    <row r="789" ht="18" customHeight="1" spans="1:7">
      <c r="A789" s="12">
        <v>787</v>
      </c>
      <c r="B789" s="12" t="s">
        <v>22</v>
      </c>
      <c r="C789" s="12" t="str">
        <f>"202205292707"</f>
        <v>202205292707</v>
      </c>
      <c r="D789" s="14">
        <v>88.6</v>
      </c>
      <c r="E789" s="14">
        <v>86</v>
      </c>
      <c r="F789" s="14">
        <f t="shared" si="24"/>
        <v>174.6</v>
      </c>
      <c r="G789" s="14">
        <f t="shared" si="25"/>
        <v>72.5333333333333</v>
      </c>
    </row>
    <row r="790" ht="18" customHeight="1" spans="1:7">
      <c r="A790" s="12">
        <v>788</v>
      </c>
      <c r="B790" s="12" t="s">
        <v>22</v>
      </c>
      <c r="C790" s="12" t="str">
        <f>"202205292708"</f>
        <v>202205292708</v>
      </c>
      <c r="D790" s="14">
        <v>0</v>
      </c>
      <c r="E790" s="14">
        <v>0</v>
      </c>
      <c r="F790" s="14">
        <f t="shared" si="24"/>
        <v>0</v>
      </c>
      <c r="G790" s="14">
        <f t="shared" si="25"/>
        <v>0</v>
      </c>
    </row>
    <row r="791" ht="18" customHeight="1" spans="1:7">
      <c r="A791" s="12">
        <v>789</v>
      </c>
      <c r="B791" s="12" t="s">
        <v>22</v>
      </c>
      <c r="C791" s="12" t="str">
        <f>"202205292709"</f>
        <v>202205292709</v>
      </c>
      <c r="D791" s="14">
        <v>75.2</v>
      </c>
      <c r="E791" s="14">
        <v>90</v>
      </c>
      <c r="F791" s="14">
        <f t="shared" si="24"/>
        <v>165.2</v>
      </c>
      <c r="G791" s="14">
        <f t="shared" si="25"/>
        <v>70.0666666666667</v>
      </c>
    </row>
    <row r="792" ht="18" customHeight="1" spans="1:7">
      <c r="A792" s="12">
        <v>790</v>
      </c>
      <c r="B792" s="12" t="s">
        <v>22</v>
      </c>
      <c r="C792" s="12" t="str">
        <f>"202205292710"</f>
        <v>202205292710</v>
      </c>
      <c r="D792" s="14">
        <v>0</v>
      </c>
      <c r="E792" s="14">
        <v>0</v>
      </c>
      <c r="F792" s="14">
        <f t="shared" si="24"/>
        <v>0</v>
      </c>
      <c r="G792" s="14">
        <f t="shared" si="25"/>
        <v>0</v>
      </c>
    </row>
    <row r="793" ht="18" customHeight="1" spans="1:7">
      <c r="A793" s="12">
        <v>791</v>
      </c>
      <c r="B793" s="12" t="s">
        <v>22</v>
      </c>
      <c r="C793" s="12" t="str">
        <f>"202205292711"</f>
        <v>202205292711</v>
      </c>
      <c r="D793" s="14">
        <v>0</v>
      </c>
      <c r="E793" s="14">
        <v>0</v>
      </c>
      <c r="F793" s="14">
        <f t="shared" si="24"/>
        <v>0</v>
      </c>
      <c r="G793" s="14">
        <f t="shared" si="25"/>
        <v>0</v>
      </c>
    </row>
    <row r="794" ht="18" customHeight="1" spans="1:7">
      <c r="A794" s="12">
        <v>792</v>
      </c>
      <c r="B794" s="12" t="s">
        <v>22</v>
      </c>
      <c r="C794" s="12" t="str">
        <f>"202205292712"</f>
        <v>202205292712</v>
      </c>
      <c r="D794" s="14">
        <v>0</v>
      </c>
      <c r="E794" s="14">
        <v>0</v>
      </c>
      <c r="F794" s="14">
        <f t="shared" si="24"/>
        <v>0</v>
      </c>
      <c r="G794" s="14">
        <f t="shared" si="25"/>
        <v>0</v>
      </c>
    </row>
    <row r="795" ht="18" customHeight="1" spans="1:7">
      <c r="A795" s="12">
        <v>793</v>
      </c>
      <c r="B795" s="12" t="s">
        <v>22</v>
      </c>
      <c r="C795" s="12" t="str">
        <f>"202205292713"</f>
        <v>202205292713</v>
      </c>
      <c r="D795" s="14">
        <v>0</v>
      </c>
      <c r="E795" s="14">
        <v>0</v>
      </c>
      <c r="F795" s="14">
        <f t="shared" si="24"/>
        <v>0</v>
      </c>
      <c r="G795" s="14">
        <f t="shared" si="25"/>
        <v>0</v>
      </c>
    </row>
    <row r="796" ht="18" customHeight="1" spans="1:7">
      <c r="A796" s="12">
        <v>794</v>
      </c>
      <c r="B796" s="12" t="s">
        <v>22</v>
      </c>
      <c r="C796" s="12" t="str">
        <f>"202205292714"</f>
        <v>202205292714</v>
      </c>
      <c r="D796" s="14">
        <v>67.8</v>
      </c>
      <c r="E796" s="14">
        <v>66</v>
      </c>
      <c r="F796" s="14">
        <f t="shared" si="24"/>
        <v>133.8</v>
      </c>
      <c r="G796" s="14">
        <f t="shared" si="25"/>
        <v>55.6</v>
      </c>
    </row>
    <row r="797" ht="18" customHeight="1" spans="1:7">
      <c r="A797" s="12">
        <v>795</v>
      </c>
      <c r="B797" s="12" t="s">
        <v>22</v>
      </c>
      <c r="C797" s="12" t="str">
        <f>"202205292715"</f>
        <v>202205292715</v>
      </c>
      <c r="D797" s="14">
        <v>0</v>
      </c>
      <c r="E797" s="14">
        <v>0</v>
      </c>
      <c r="F797" s="14">
        <f t="shared" si="24"/>
        <v>0</v>
      </c>
      <c r="G797" s="14">
        <f t="shared" si="25"/>
        <v>0</v>
      </c>
    </row>
    <row r="798" ht="18" customHeight="1" spans="1:7">
      <c r="A798" s="12">
        <v>796</v>
      </c>
      <c r="B798" s="12" t="s">
        <v>22</v>
      </c>
      <c r="C798" s="12" t="str">
        <f>"202205292716"</f>
        <v>202205292716</v>
      </c>
      <c r="D798" s="14">
        <v>0</v>
      </c>
      <c r="E798" s="14">
        <v>0</v>
      </c>
      <c r="F798" s="14">
        <f t="shared" si="24"/>
        <v>0</v>
      </c>
      <c r="G798" s="14">
        <f t="shared" si="25"/>
        <v>0</v>
      </c>
    </row>
    <row r="799" ht="18" customHeight="1" spans="1:7">
      <c r="A799" s="12">
        <v>797</v>
      </c>
      <c r="B799" s="12" t="s">
        <v>22</v>
      </c>
      <c r="C799" s="12" t="str">
        <f>"202205292717"</f>
        <v>202205292717</v>
      </c>
      <c r="D799" s="14">
        <v>0</v>
      </c>
      <c r="E799" s="14">
        <v>0</v>
      </c>
      <c r="F799" s="14">
        <f t="shared" si="24"/>
        <v>0</v>
      </c>
      <c r="G799" s="14">
        <f t="shared" si="25"/>
        <v>0</v>
      </c>
    </row>
    <row r="800" ht="18" customHeight="1" spans="1:7">
      <c r="A800" s="12">
        <v>798</v>
      </c>
      <c r="B800" s="12" t="s">
        <v>22</v>
      </c>
      <c r="C800" s="12" t="str">
        <f>"202205292718"</f>
        <v>202205292718</v>
      </c>
      <c r="D800" s="14">
        <v>76.4</v>
      </c>
      <c r="E800" s="14">
        <v>58</v>
      </c>
      <c r="F800" s="14">
        <f t="shared" si="24"/>
        <v>134.4</v>
      </c>
      <c r="G800" s="14">
        <f t="shared" si="25"/>
        <v>54.4666666666667</v>
      </c>
    </row>
    <row r="801" ht="18" customHeight="1" spans="1:7">
      <c r="A801" s="12">
        <v>799</v>
      </c>
      <c r="B801" s="12" t="s">
        <v>22</v>
      </c>
      <c r="C801" s="12" t="str">
        <f>"202205292719"</f>
        <v>202205292719</v>
      </c>
      <c r="D801" s="14">
        <v>0</v>
      </c>
      <c r="E801" s="14">
        <v>0</v>
      </c>
      <c r="F801" s="14">
        <f t="shared" si="24"/>
        <v>0</v>
      </c>
      <c r="G801" s="14">
        <f t="shared" si="25"/>
        <v>0</v>
      </c>
    </row>
    <row r="802" ht="18" customHeight="1" spans="1:7">
      <c r="A802" s="12">
        <v>800</v>
      </c>
      <c r="B802" s="12" t="s">
        <v>22</v>
      </c>
      <c r="C802" s="12" t="str">
        <f>"202205292720"</f>
        <v>202205292720</v>
      </c>
      <c r="D802" s="14">
        <v>0</v>
      </c>
      <c r="E802" s="14">
        <v>0</v>
      </c>
      <c r="F802" s="14">
        <f t="shared" si="24"/>
        <v>0</v>
      </c>
      <c r="G802" s="14">
        <f t="shared" si="25"/>
        <v>0</v>
      </c>
    </row>
    <row r="803" ht="18" customHeight="1" spans="1:7">
      <c r="A803" s="12">
        <v>801</v>
      </c>
      <c r="B803" s="12" t="s">
        <v>22</v>
      </c>
      <c r="C803" s="12" t="str">
        <f>"202205292721"</f>
        <v>202205292721</v>
      </c>
      <c r="D803" s="14">
        <v>0</v>
      </c>
      <c r="E803" s="14">
        <v>0</v>
      </c>
      <c r="F803" s="14">
        <f t="shared" si="24"/>
        <v>0</v>
      </c>
      <c r="G803" s="14">
        <f t="shared" si="25"/>
        <v>0</v>
      </c>
    </row>
    <row r="804" ht="18" customHeight="1" spans="1:7">
      <c r="A804" s="12">
        <v>802</v>
      </c>
      <c r="B804" s="12" t="s">
        <v>22</v>
      </c>
      <c r="C804" s="12" t="str">
        <f>"202205292722"</f>
        <v>202205292722</v>
      </c>
      <c r="D804" s="14">
        <v>0</v>
      </c>
      <c r="E804" s="14">
        <v>0</v>
      </c>
      <c r="F804" s="14">
        <f t="shared" si="24"/>
        <v>0</v>
      </c>
      <c r="G804" s="14">
        <f t="shared" si="25"/>
        <v>0</v>
      </c>
    </row>
    <row r="805" ht="18" customHeight="1" spans="1:7">
      <c r="A805" s="12">
        <v>803</v>
      </c>
      <c r="B805" s="12" t="s">
        <v>22</v>
      </c>
      <c r="C805" s="12" t="str">
        <f>"202205292723"</f>
        <v>202205292723</v>
      </c>
      <c r="D805" s="14">
        <v>0</v>
      </c>
      <c r="E805" s="14">
        <v>0</v>
      </c>
      <c r="F805" s="14">
        <f t="shared" si="24"/>
        <v>0</v>
      </c>
      <c r="G805" s="14">
        <f t="shared" si="25"/>
        <v>0</v>
      </c>
    </row>
    <row r="806" ht="18" customHeight="1" spans="1:7">
      <c r="A806" s="12">
        <v>804</v>
      </c>
      <c r="B806" s="12" t="s">
        <v>22</v>
      </c>
      <c r="C806" s="12" t="str">
        <f>"202205292724"</f>
        <v>202205292724</v>
      </c>
      <c r="D806" s="14">
        <v>79.6</v>
      </c>
      <c r="E806" s="14">
        <v>53</v>
      </c>
      <c r="F806" s="14">
        <f t="shared" si="24"/>
        <v>132.6</v>
      </c>
      <c r="G806" s="14">
        <f t="shared" si="25"/>
        <v>53.0333333333333</v>
      </c>
    </row>
    <row r="807" ht="18" customHeight="1" spans="1:7">
      <c r="A807" s="12">
        <v>805</v>
      </c>
      <c r="B807" s="12" t="s">
        <v>22</v>
      </c>
      <c r="C807" s="12" t="str">
        <f>"202205292725"</f>
        <v>202205292725</v>
      </c>
      <c r="D807" s="14">
        <v>84.6</v>
      </c>
      <c r="E807" s="14">
        <v>46</v>
      </c>
      <c r="F807" s="14">
        <f t="shared" si="24"/>
        <v>130.6</v>
      </c>
      <c r="G807" s="14">
        <f t="shared" si="25"/>
        <v>51.2</v>
      </c>
    </row>
    <row r="808" ht="18" customHeight="1" spans="1:7">
      <c r="A808" s="12">
        <v>806</v>
      </c>
      <c r="B808" s="12" t="s">
        <v>22</v>
      </c>
      <c r="C808" s="12" t="str">
        <f>"202205292726"</f>
        <v>202205292726</v>
      </c>
      <c r="D808" s="14">
        <v>0</v>
      </c>
      <c r="E808" s="14">
        <v>0</v>
      </c>
      <c r="F808" s="14">
        <f t="shared" si="24"/>
        <v>0</v>
      </c>
      <c r="G808" s="14">
        <f t="shared" si="25"/>
        <v>0</v>
      </c>
    </row>
    <row r="809" ht="18" customHeight="1" spans="1:7">
      <c r="A809" s="12">
        <v>807</v>
      </c>
      <c r="B809" s="12" t="s">
        <v>22</v>
      </c>
      <c r="C809" s="12" t="str">
        <f>"202205292727"</f>
        <v>202205292727</v>
      </c>
      <c r="D809" s="14">
        <v>84.8</v>
      </c>
      <c r="E809" s="14">
        <v>41</v>
      </c>
      <c r="F809" s="14">
        <f t="shared" si="24"/>
        <v>125.8</v>
      </c>
      <c r="G809" s="14">
        <f t="shared" si="25"/>
        <v>48.7666666666667</v>
      </c>
    </row>
    <row r="810" ht="18" customHeight="1" spans="1:7">
      <c r="A810" s="12">
        <v>808</v>
      </c>
      <c r="B810" s="12" t="s">
        <v>22</v>
      </c>
      <c r="C810" s="12" t="str">
        <f>"202205292728"</f>
        <v>202205292728</v>
      </c>
      <c r="D810" s="14">
        <v>60.2</v>
      </c>
      <c r="E810" s="14">
        <v>67</v>
      </c>
      <c r="F810" s="14">
        <f t="shared" si="24"/>
        <v>127.2</v>
      </c>
      <c r="G810" s="14">
        <f t="shared" si="25"/>
        <v>53.5666666666667</v>
      </c>
    </row>
    <row r="811" ht="18" customHeight="1" spans="1:7">
      <c r="A811" s="12">
        <v>809</v>
      </c>
      <c r="B811" s="12" t="s">
        <v>22</v>
      </c>
      <c r="C811" s="12" t="str">
        <f>"202205292729"</f>
        <v>202205292729</v>
      </c>
      <c r="D811" s="14">
        <v>70.4</v>
      </c>
      <c r="E811" s="14">
        <v>39</v>
      </c>
      <c r="F811" s="14">
        <f t="shared" si="24"/>
        <v>109.4</v>
      </c>
      <c r="G811" s="14">
        <f t="shared" si="25"/>
        <v>42.9666666666667</v>
      </c>
    </row>
    <row r="812" ht="18" customHeight="1" spans="1:7">
      <c r="A812" s="12">
        <v>810</v>
      </c>
      <c r="B812" s="12" t="s">
        <v>22</v>
      </c>
      <c r="C812" s="12" t="str">
        <f>"202205292730"</f>
        <v>202205292730</v>
      </c>
      <c r="D812" s="14">
        <v>0</v>
      </c>
      <c r="E812" s="14">
        <v>0</v>
      </c>
      <c r="F812" s="14">
        <f t="shared" si="24"/>
        <v>0</v>
      </c>
      <c r="G812" s="14">
        <f t="shared" si="25"/>
        <v>0</v>
      </c>
    </row>
    <row r="813" ht="18" customHeight="1" spans="1:7">
      <c r="A813" s="12">
        <v>811</v>
      </c>
      <c r="B813" s="12" t="s">
        <v>22</v>
      </c>
      <c r="C813" s="12" t="str">
        <f>"202205292801"</f>
        <v>202205292801</v>
      </c>
      <c r="D813" s="14">
        <v>70.8</v>
      </c>
      <c r="E813" s="14">
        <v>26</v>
      </c>
      <c r="F813" s="14">
        <f t="shared" si="24"/>
        <v>96.8</v>
      </c>
      <c r="G813" s="14">
        <f t="shared" si="25"/>
        <v>36.6</v>
      </c>
    </row>
    <row r="814" ht="18" customHeight="1" spans="1:7">
      <c r="A814" s="12">
        <v>812</v>
      </c>
      <c r="B814" s="12" t="s">
        <v>22</v>
      </c>
      <c r="C814" s="12" t="str">
        <f>"202205292802"</f>
        <v>202205292802</v>
      </c>
      <c r="D814" s="14">
        <v>0</v>
      </c>
      <c r="E814" s="14">
        <v>0</v>
      </c>
      <c r="F814" s="14">
        <f t="shared" si="24"/>
        <v>0</v>
      </c>
      <c r="G814" s="14">
        <f t="shared" si="25"/>
        <v>0</v>
      </c>
    </row>
    <row r="815" ht="18" customHeight="1" spans="1:7">
      <c r="A815" s="12">
        <v>813</v>
      </c>
      <c r="B815" s="12" t="s">
        <v>22</v>
      </c>
      <c r="C815" s="12" t="str">
        <f>"202205292803"</f>
        <v>202205292803</v>
      </c>
      <c r="D815" s="14">
        <v>0</v>
      </c>
      <c r="E815" s="14">
        <v>0</v>
      </c>
      <c r="F815" s="14">
        <f t="shared" si="24"/>
        <v>0</v>
      </c>
      <c r="G815" s="14">
        <f t="shared" si="25"/>
        <v>0</v>
      </c>
    </row>
    <row r="816" ht="18" customHeight="1" spans="1:7">
      <c r="A816" s="12">
        <v>814</v>
      </c>
      <c r="B816" s="12" t="s">
        <v>22</v>
      </c>
      <c r="C816" s="12" t="str">
        <f>"202205292804"</f>
        <v>202205292804</v>
      </c>
      <c r="D816" s="14">
        <v>0</v>
      </c>
      <c r="E816" s="14">
        <v>0</v>
      </c>
      <c r="F816" s="14">
        <f t="shared" si="24"/>
        <v>0</v>
      </c>
      <c r="G816" s="14">
        <f t="shared" si="25"/>
        <v>0</v>
      </c>
    </row>
    <row r="817" ht="18" customHeight="1" spans="1:7">
      <c r="A817" s="12">
        <v>815</v>
      </c>
      <c r="B817" s="12" t="s">
        <v>22</v>
      </c>
      <c r="C817" s="12" t="str">
        <f>"202205292805"</f>
        <v>202205292805</v>
      </c>
      <c r="D817" s="14">
        <v>38.4</v>
      </c>
      <c r="E817" s="14">
        <v>44</v>
      </c>
      <c r="F817" s="14">
        <f t="shared" si="24"/>
        <v>82.4</v>
      </c>
      <c r="G817" s="14">
        <f t="shared" si="25"/>
        <v>34.8</v>
      </c>
    </row>
    <row r="818" ht="18" customHeight="1" spans="1:7">
      <c r="A818" s="12">
        <v>816</v>
      </c>
      <c r="B818" s="12" t="s">
        <v>22</v>
      </c>
      <c r="C818" s="12" t="str">
        <f>"202205292806"</f>
        <v>202205292806</v>
      </c>
      <c r="D818" s="14">
        <v>62.8</v>
      </c>
      <c r="E818" s="14">
        <v>35</v>
      </c>
      <c r="F818" s="14">
        <f t="shared" si="24"/>
        <v>97.8</v>
      </c>
      <c r="G818" s="14">
        <f t="shared" si="25"/>
        <v>38.4333333333333</v>
      </c>
    </row>
    <row r="819" ht="18" customHeight="1" spans="1:7">
      <c r="A819" s="12">
        <v>817</v>
      </c>
      <c r="B819" s="12" t="s">
        <v>22</v>
      </c>
      <c r="C819" s="12" t="str">
        <f>"202205292807"</f>
        <v>202205292807</v>
      </c>
      <c r="D819" s="14">
        <v>0</v>
      </c>
      <c r="E819" s="14">
        <v>0</v>
      </c>
      <c r="F819" s="14">
        <f t="shared" si="24"/>
        <v>0</v>
      </c>
      <c r="G819" s="14">
        <f t="shared" si="25"/>
        <v>0</v>
      </c>
    </row>
    <row r="820" ht="18" customHeight="1" spans="1:7">
      <c r="A820" s="12">
        <v>818</v>
      </c>
      <c r="B820" s="12" t="s">
        <v>22</v>
      </c>
      <c r="C820" s="12" t="str">
        <f>"202205292808"</f>
        <v>202205292808</v>
      </c>
      <c r="D820" s="14">
        <v>81.4</v>
      </c>
      <c r="E820" s="14">
        <v>54</v>
      </c>
      <c r="F820" s="14">
        <f t="shared" si="24"/>
        <v>135.4</v>
      </c>
      <c r="G820" s="14">
        <f t="shared" si="25"/>
        <v>54.1333333333333</v>
      </c>
    </row>
    <row r="821" ht="18" customHeight="1" spans="1:7">
      <c r="A821" s="12">
        <v>819</v>
      </c>
      <c r="B821" s="12" t="s">
        <v>22</v>
      </c>
      <c r="C821" s="12" t="str">
        <f>"202205292809"</f>
        <v>202205292809</v>
      </c>
      <c r="D821" s="14">
        <v>64.4</v>
      </c>
      <c r="E821" s="14">
        <v>23</v>
      </c>
      <c r="F821" s="14">
        <f t="shared" si="24"/>
        <v>87.4</v>
      </c>
      <c r="G821" s="14">
        <f t="shared" si="25"/>
        <v>32.9666666666667</v>
      </c>
    </row>
    <row r="822" ht="18" customHeight="1" spans="1:7">
      <c r="A822" s="12">
        <v>820</v>
      </c>
      <c r="B822" s="12" t="s">
        <v>22</v>
      </c>
      <c r="C822" s="12" t="str">
        <f>"202205292810"</f>
        <v>202205292810</v>
      </c>
      <c r="D822" s="14">
        <v>0</v>
      </c>
      <c r="E822" s="14">
        <v>0</v>
      </c>
      <c r="F822" s="14">
        <f t="shared" si="24"/>
        <v>0</v>
      </c>
      <c r="G822" s="14">
        <f t="shared" si="25"/>
        <v>0</v>
      </c>
    </row>
    <row r="823" ht="18" customHeight="1" spans="1:7">
      <c r="A823" s="12">
        <v>821</v>
      </c>
      <c r="B823" s="12" t="s">
        <v>22</v>
      </c>
      <c r="C823" s="12" t="str">
        <f>"202205292811"</f>
        <v>202205292811</v>
      </c>
      <c r="D823" s="14">
        <v>89.4</v>
      </c>
      <c r="E823" s="14">
        <v>61</v>
      </c>
      <c r="F823" s="14">
        <f t="shared" si="24"/>
        <v>150.4</v>
      </c>
      <c r="G823" s="14">
        <f t="shared" si="25"/>
        <v>60.3</v>
      </c>
    </row>
    <row r="824" ht="18" customHeight="1" spans="1:7">
      <c r="A824" s="12">
        <v>822</v>
      </c>
      <c r="B824" s="12" t="s">
        <v>22</v>
      </c>
      <c r="C824" s="12" t="str">
        <f>"202205292812"</f>
        <v>202205292812</v>
      </c>
      <c r="D824" s="14">
        <v>72.8</v>
      </c>
      <c r="E824" s="14">
        <v>48</v>
      </c>
      <c r="F824" s="14">
        <f t="shared" si="24"/>
        <v>120.8</v>
      </c>
      <c r="G824" s="14">
        <f t="shared" si="25"/>
        <v>48.2666666666667</v>
      </c>
    </row>
    <row r="825" ht="18" customHeight="1" spans="1:7">
      <c r="A825" s="12">
        <v>823</v>
      </c>
      <c r="B825" s="12" t="s">
        <v>22</v>
      </c>
      <c r="C825" s="12" t="str">
        <f>"202205292813"</f>
        <v>202205292813</v>
      </c>
      <c r="D825" s="14">
        <v>68.2</v>
      </c>
      <c r="E825" s="14">
        <v>9</v>
      </c>
      <c r="F825" s="14">
        <f t="shared" si="24"/>
        <v>77.2</v>
      </c>
      <c r="G825" s="14">
        <f t="shared" si="25"/>
        <v>27.2333333333333</v>
      </c>
    </row>
    <row r="826" ht="18" customHeight="1" spans="1:7">
      <c r="A826" s="12">
        <v>824</v>
      </c>
      <c r="B826" s="12" t="s">
        <v>22</v>
      </c>
      <c r="C826" s="12" t="str">
        <f>"202205292814"</f>
        <v>202205292814</v>
      </c>
      <c r="D826" s="14">
        <v>0</v>
      </c>
      <c r="E826" s="14">
        <v>0</v>
      </c>
      <c r="F826" s="14">
        <f t="shared" si="24"/>
        <v>0</v>
      </c>
      <c r="G826" s="14">
        <f t="shared" si="25"/>
        <v>0</v>
      </c>
    </row>
    <row r="827" ht="18" customHeight="1" spans="1:7">
      <c r="A827" s="12">
        <v>825</v>
      </c>
      <c r="B827" s="12" t="s">
        <v>22</v>
      </c>
      <c r="C827" s="12" t="str">
        <f>"202205292815"</f>
        <v>202205292815</v>
      </c>
      <c r="D827" s="14">
        <v>0</v>
      </c>
      <c r="E827" s="14">
        <v>0</v>
      </c>
      <c r="F827" s="14">
        <f t="shared" si="24"/>
        <v>0</v>
      </c>
      <c r="G827" s="14">
        <f t="shared" si="25"/>
        <v>0</v>
      </c>
    </row>
    <row r="828" ht="18" customHeight="1" spans="1:7">
      <c r="A828" s="12">
        <v>826</v>
      </c>
      <c r="B828" s="12" t="s">
        <v>22</v>
      </c>
      <c r="C828" s="12" t="str">
        <f>"202205292816"</f>
        <v>202205292816</v>
      </c>
      <c r="D828" s="14">
        <v>0</v>
      </c>
      <c r="E828" s="14">
        <v>0</v>
      </c>
      <c r="F828" s="14">
        <f t="shared" si="24"/>
        <v>0</v>
      </c>
      <c r="G828" s="14">
        <f t="shared" si="25"/>
        <v>0</v>
      </c>
    </row>
    <row r="829" ht="18" customHeight="1" spans="1:7">
      <c r="A829" s="12">
        <v>827</v>
      </c>
      <c r="B829" s="12" t="s">
        <v>22</v>
      </c>
      <c r="C829" s="12" t="str">
        <f>"202205292817"</f>
        <v>202205292817</v>
      </c>
      <c r="D829" s="14">
        <v>81.4</v>
      </c>
      <c r="E829" s="14">
        <v>38</v>
      </c>
      <c r="F829" s="14">
        <f t="shared" si="24"/>
        <v>119.4</v>
      </c>
      <c r="G829" s="14">
        <f t="shared" si="25"/>
        <v>46.1333333333333</v>
      </c>
    </row>
    <row r="830" ht="18" customHeight="1" spans="1:7">
      <c r="A830" s="12">
        <v>828</v>
      </c>
      <c r="B830" s="12" t="s">
        <v>22</v>
      </c>
      <c r="C830" s="12" t="str">
        <f>"202205292818"</f>
        <v>202205292818</v>
      </c>
      <c r="D830" s="14">
        <v>71.6</v>
      </c>
      <c r="E830" s="14">
        <v>17</v>
      </c>
      <c r="F830" s="14">
        <f t="shared" si="24"/>
        <v>88.6</v>
      </c>
      <c r="G830" s="14">
        <f t="shared" si="25"/>
        <v>32.3666666666667</v>
      </c>
    </row>
    <row r="831" ht="18" customHeight="1" spans="1:7">
      <c r="A831" s="12">
        <v>829</v>
      </c>
      <c r="B831" s="12" t="s">
        <v>22</v>
      </c>
      <c r="C831" s="12" t="str">
        <f>"202205292819"</f>
        <v>202205292819</v>
      </c>
      <c r="D831" s="14">
        <v>85.4</v>
      </c>
      <c r="E831" s="14">
        <v>56</v>
      </c>
      <c r="F831" s="14">
        <f t="shared" si="24"/>
        <v>141.4</v>
      </c>
      <c r="G831" s="14">
        <f t="shared" si="25"/>
        <v>56.4666666666667</v>
      </c>
    </row>
    <row r="832" ht="18" customHeight="1" spans="1:7">
      <c r="A832" s="12">
        <v>830</v>
      </c>
      <c r="B832" s="12" t="s">
        <v>22</v>
      </c>
      <c r="C832" s="12" t="str">
        <f>"202205292820"</f>
        <v>202205292820</v>
      </c>
      <c r="D832" s="14">
        <v>0</v>
      </c>
      <c r="E832" s="14">
        <v>0</v>
      </c>
      <c r="F832" s="14">
        <f t="shared" si="24"/>
        <v>0</v>
      </c>
      <c r="G832" s="14">
        <f t="shared" si="25"/>
        <v>0</v>
      </c>
    </row>
    <row r="833" ht="18" customHeight="1" spans="1:7">
      <c r="A833" s="12">
        <v>831</v>
      </c>
      <c r="B833" s="12" t="s">
        <v>22</v>
      </c>
      <c r="C833" s="12" t="str">
        <f>"202205292821"</f>
        <v>202205292821</v>
      </c>
      <c r="D833" s="14">
        <v>83.6</v>
      </c>
      <c r="E833" s="14">
        <v>74</v>
      </c>
      <c r="F833" s="14">
        <f t="shared" si="24"/>
        <v>157.6</v>
      </c>
      <c r="G833" s="14">
        <f t="shared" si="25"/>
        <v>64.8666666666667</v>
      </c>
    </row>
    <row r="834" ht="18" customHeight="1" spans="1:7">
      <c r="A834" s="12">
        <v>832</v>
      </c>
      <c r="B834" s="12" t="s">
        <v>22</v>
      </c>
      <c r="C834" s="12" t="str">
        <f>"202205292822"</f>
        <v>202205292822</v>
      </c>
      <c r="D834" s="14">
        <v>0</v>
      </c>
      <c r="E834" s="14">
        <v>0</v>
      </c>
      <c r="F834" s="14">
        <f t="shared" si="24"/>
        <v>0</v>
      </c>
      <c r="G834" s="14">
        <f t="shared" si="25"/>
        <v>0</v>
      </c>
    </row>
    <row r="835" ht="18" customHeight="1" spans="1:7">
      <c r="A835" s="12">
        <v>833</v>
      </c>
      <c r="B835" s="12" t="s">
        <v>22</v>
      </c>
      <c r="C835" s="12" t="str">
        <f>"202205292823"</f>
        <v>202205292823</v>
      </c>
      <c r="D835" s="14">
        <v>71.4</v>
      </c>
      <c r="E835" s="14">
        <v>46</v>
      </c>
      <c r="F835" s="14">
        <f t="shared" si="24"/>
        <v>117.4</v>
      </c>
      <c r="G835" s="14">
        <f t="shared" si="25"/>
        <v>46.8</v>
      </c>
    </row>
    <row r="836" ht="18" customHeight="1" spans="1:7">
      <c r="A836" s="12">
        <v>834</v>
      </c>
      <c r="B836" s="12" t="s">
        <v>22</v>
      </c>
      <c r="C836" s="12" t="str">
        <f>"202205292824"</f>
        <v>202205292824</v>
      </c>
      <c r="D836" s="14">
        <v>79.2</v>
      </c>
      <c r="E836" s="14">
        <v>49</v>
      </c>
      <c r="F836" s="14">
        <f t="shared" ref="F836:F862" si="26">D836+E836</f>
        <v>128.2</v>
      </c>
      <c r="G836" s="14">
        <f t="shared" ref="G836:G862" si="27">D836/1.2*0.4+E836/1.2*0.6</f>
        <v>50.9</v>
      </c>
    </row>
    <row r="837" ht="18" customHeight="1" spans="1:7">
      <c r="A837" s="12">
        <v>835</v>
      </c>
      <c r="B837" s="12" t="s">
        <v>22</v>
      </c>
      <c r="C837" s="12" t="str">
        <f>"202205292825"</f>
        <v>202205292825</v>
      </c>
      <c r="D837" s="14">
        <v>0</v>
      </c>
      <c r="E837" s="14">
        <v>0</v>
      </c>
      <c r="F837" s="14">
        <f t="shared" si="26"/>
        <v>0</v>
      </c>
      <c r="G837" s="14">
        <f t="shared" si="27"/>
        <v>0</v>
      </c>
    </row>
    <row r="838" ht="18" customHeight="1" spans="1:7">
      <c r="A838" s="12">
        <v>836</v>
      </c>
      <c r="B838" s="12" t="s">
        <v>22</v>
      </c>
      <c r="C838" s="12" t="str">
        <f>"202205292826"</f>
        <v>202205292826</v>
      </c>
      <c r="D838" s="14">
        <v>69.2</v>
      </c>
      <c r="E838" s="14">
        <v>10</v>
      </c>
      <c r="F838" s="14">
        <f t="shared" si="26"/>
        <v>79.2</v>
      </c>
      <c r="G838" s="14">
        <f t="shared" si="27"/>
        <v>28.0666666666667</v>
      </c>
    </row>
    <row r="839" ht="18" customHeight="1" spans="1:7">
      <c r="A839" s="12">
        <v>837</v>
      </c>
      <c r="B839" s="12" t="s">
        <v>22</v>
      </c>
      <c r="C839" s="12" t="str">
        <f>"202205292827"</f>
        <v>202205292827</v>
      </c>
      <c r="D839" s="14">
        <v>71</v>
      </c>
      <c r="E839" s="14">
        <v>20</v>
      </c>
      <c r="F839" s="14">
        <f t="shared" si="26"/>
        <v>91</v>
      </c>
      <c r="G839" s="14">
        <f t="shared" si="27"/>
        <v>33.6666666666667</v>
      </c>
    </row>
    <row r="840" ht="18" customHeight="1" spans="1:7">
      <c r="A840" s="12">
        <v>838</v>
      </c>
      <c r="B840" s="12" t="s">
        <v>22</v>
      </c>
      <c r="C840" s="12" t="str">
        <f>"202205292828"</f>
        <v>202205292828</v>
      </c>
      <c r="D840" s="14">
        <v>79.6</v>
      </c>
      <c r="E840" s="14">
        <v>79</v>
      </c>
      <c r="F840" s="14">
        <f t="shared" si="26"/>
        <v>158.6</v>
      </c>
      <c r="G840" s="14">
        <f t="shared" si="27"/>
        <v>66.0333333333333</v>
      </c>
    </row>
    <row r="841" ht="18" customHeight="1" spans="1:7">
      <c r="A841" s="12">
        <v>839</v>
      </c>
      <c r="B841" s="12" t="s">
        <v>22</v>
      </c>
      <c r="C841" s="12" t="str">
        <f>"202205292829"</f>
        <v>202205292829</v>
      </c>
      <c r="D841" s="14">
        <v>0</v>
      </c>
      <c r="E841" s="14">
        <v>0</v>
      </c>
      <c r="F841" s="14">
        <f t="shared" si="26"/>
        <v>0</v>
      </c>
      <c r="G841" s="14">
        <f t="shared" si="27"/>
        <v>0</v>
      </c>
    </row>
    <row r="842" ht="18" customHeight="1" spans="1:7">
      <c r="A842" s="12">
        <v>840</v>
      </c>
      <c r="B842" s="12" t="s">
        <v>22</v>
      </c>
      <c r="C842" s="12" t="str">
        <f>"202205292830"</f>
        <v>202205292830</v>
      </c>
      <c r="D842" s="14">
        <v>78.4</v>
      </c>
      <c r="E842" s="14">
        <v>44</v>
      </c>
      <c r="F842" s="14">
        <f t="shared" si="26"/>
        <v>122.4</v>
      </c>
      <c r="G842" s="14">
        <f t="shared" si="27"/>
        <v>48.1333333333333</v>
      </c>
    </row>
    <row r="843" ht="18" customHeight="1" spans="1:7">
      <c r="A843" s="12">
        <v>841</v>
      </c>
      <c r="B843" s="12" t="s">
        <v>22</v>
      </c>
      <c r="C843" s="12" t="str">
        <f>"202205292901"</f>
        <v>202205292901</v>
      </c>
      <c r="D843" s="14">
        <v>79</v>
      </c>
      <c r="E843" s="14">
        <v>59</v>
      </c>
      <c r="F843" s="14">
        <f t="shared" si="26"/>
        <v>138</v>
      </c>
      <c r="G843" s="14">
        <f t="shared" si="27"/>
        <v>55.8333333333333</v>
      </c>
    </row>
    <row r="844" ht="18" customHeight="1" spans="1:7">
      <c r="A844" s="12">
        <v>842</v>
      </c>
      <c r="B844" s="12" t="s">
        <v>22</v>
      </c>
      <c r="C844" s="12" t="str">
        <f>"202205292902"</f>
        <v>202205292902</v>
      </c>
      <c r="D844" s="14">
        <v>79.6</v>
      </c>
      <c r="E844" s="14">
        <v>62</v>
      </c>
      <c r="F844" s="14">
        <f t="shared" si="26"/>
        <v>141.6</v>
      </c>
      <c r="G844" s="14">
        <f t="shared" si="27"/>
        <v>57.5333333333333</v>
      </c>
    </row>
    <row r="845" ht="18" customHeight="1" spans="1:7">
      <c r="A845" s="12">
        <v>843</v>
      </c>
      <c r="B845" s="12" t="s">
        <v>22</v>
      </c>
      <c r="C845" s="12" t="str">
        <f>"202205292903"</f>
        <v>202205292903</v>
      </c>
      <c r="D845" s="14">
        <v>0</v>
      </c>
      <c r="E845" s="14">
        <v>0</v>
      </c>
      <c r="F845" s="14">
        <f t="shared" si="26"/>
        <v>0</v>
      </c>
      <c r="G845" s="14">
        <f t="shared" si="27"/>
        <v>0</v>
      </c>
    </row>
    <row r="846" ht="18" customHeight="1" spans="1:7">
      <c r="A846" s="12">
        <v>844</v>
      </c>
      <c r="B846" s="12" t="s">
        <v>22</v>
      </c>
      <c r="C846" s="12" t="str">
        <f>"202205292904"</f>
        <v>202205292904</v>
      </c>
      <c r="D846" s="14">
        <v>0</v>
      </c>
      <c r="E846" s="14">
        <v>0</v>
      </c>
      <c r="F846" s="14">
        <f t="shared" si="26"/>
        <v>0</v>
      </c>
      <c r="G846" s="14">
        <f t="shared" si="27"/>
        <v>0</v>
      </c>
    </row>
    <row r="847" ht="18" customHeight="1" spans="1:7">
      <c r="A847" s="12">
        <v>845</v>
      </c>
      <c r="B847" s="12" t="s">
        <v>22</v>
      </c>
      <c r="C847" s="12" t="str">
        <f>"202205292905"</f>
        <v>202205292905</v>
      </c>
      <c r="D847" s="14">
        <v>0</v>
      </c>
      <c r="E847" s="14">
        <v>0</v>
      </c>
      <c r="F847" s="14">
        <f t="shared" si="26"/>
        <v>0</v>
      </c>
      <c r="G847" s="14">
        <f t="shared" si="27"/>
        <v>0</v>
      </c>
    </row>
    <row r="848" ht="18" customHeight="1" spans="1:7">
      <c r="A848" s="12">
        <v>846</v>
      </c>
      <c r="B848" s="12" t="s">
        <v>22</v>
      </c>
      <c r="C848" s="12" t="str">
        <f>"202205292906"</f>
        <v>202205292906</v>
      </c>
      <c r="D848" s="14">
        <v>0</v>
      </c>
      <c r="E848" s="14">
        <v>0</v>
      </c>
      <c r="F848" s="14">
        <f t="shared" si="26"/>
        <v>0</v>
      </c>
      <c r="G848" s="14">
        <f t="shared" si="27"/>
        <v>0</v>
      </c>
    </row>
    <row r="849" ht="18" customHeight="1" spans="1:7">
      <c r="A849" s="12">
        <v>847</v>
      </c>
      <c r="B849" s="12" t="s">
        <v>22</v>
      </c>
      <c r="C849" s="12" t="str">
        <f>"202205292907"</f>
        <v>202205292907</v>
      </c>
      <c r="D849" s="14">
        <v>73.8</v>
      </c>
      <c r="E849" s="14">
        <v>47</v>
      </c>
      <c r="F849" s="14">
        <f t="shared" si="26"/>
        <v>120.8</v>
      </c>
      <c r="G849" s="14">
        <f t="shared" si="27"/>
        <v>48.1</v>
      </c>
    </row>
    <row r="850" ht="18" customHeight="1" spans="1:7">
      <c r="A850" s="12">
        <v>848</v>
      </c>
      <c r="B850" s="12" t="s">
        <v>22</v>
      </c>
      <c r="C850" s="12" t="str">
        <f>"202205292908"</f>
        <v>202205292908</v>
      </c>
      <c r="D850" s="14">
        <v>0</v>
      </c>
      <c r="E850" s="14">
        <v>0</v>
      </c>
      <c r="F850" s="14">
        <f t="shared" si="26"/>
        <v>0</v>
      </c>
      <c r="G850" s="14">
        <f t="shared" si="27"/>
        <v>0</v>
      </c>
    </row>
    <row r="851" ht="18" customHeight="1" spans="1:7">
      <c r="A851" s="12">
        <v>849</v>
      </c>
      <c r="B851" s="12" t="s">
        <v>22</v>
      </c>
      <c r="C851" s="12" t="str">
        <f>"202205292909"</f>
        <v>202205292909</v>
      </c>
      <c r="D851" s="14">
        <v>0</v>
      </c>
      <c r="E851" s="14">
        <v>0</v>
      </c>
      <c r="F851" s="14">
        <f t="shared" si="26"/>
        <v>0</v>
      </c>
      <c r="G851" s="14">
        <f t="shared" si="27"/>
        <v>0</v>
      </c>
    </row>
    <row r="852" ht="18" customHeight="1" spans="1:7">
      <c r="A852" s="12">
        <v>850</v>
      </c>
      <c r="B852" s="12" t="s">
        <v>22</v>
      </c>
      <c r="C852" s="12" t="str">
        <f>"202205292910"</f>
        <v>202205292910</v>
      </c>
      <c r="D852" s="14">
        <v>70.6</v>
      </c>
      <c r="E852" s="14">
        <v>61</v>
      </c>
      <c r="F852" s="14">
        <f t="shared" si="26"/>
        <v>131.6</v>
      </c>
      <c r="G852" s="14">
        <f t="shared" si="27"/>
        <v>54.0333333333333</v>
      </c>
    </row>
    <row r="853" ht="18" customHeight="1" spans="1:7">
      <c r="A853" s="12">
        <v>851</v>
      </c>
      <c r="B853" s="12" t="s">
        <v>22</v>
      </c>
      <c r="C853" s="12" t="str">
        <f>"202205292911"</f>
        <v>202205292911</v>
      </c>
      <c r="D853" s="14">
        <v>84.4</v>
      </c>
      <c r="E853" s="14">
        <v>74</v>
      </c>
      <c r="F853" s="14">
        <f t="shared" si="26"/>
        <v>158.4</v>
      </c>
      <c r="G853" s="14">
        <f t="shared" si="27"/>
        <v>65.1333333333333</v>
      </c>
    </row>
    <row r="854" ht="18" customHeight="1" spans="1:7">
      <c r="A854" s="12">
        <v>852</v>
      </c>
      <c r="B854" s="12" t="s">
        <v>23</v>
      </c>
      <c r="C854" s="12" t="str">
        <f>"202205292912"</f>
        <v>202205292912</v>
      </c>
      <c r="D854" s="14">
        <v>79</v>
      </c>
      <c r="E854" s="14">
        <v>38</v>
      </c>
      <c r="F854" s="14">
        <f t="shared" si="26"/>
        <v>117</v>
      </c>
      <c r="G854" s="14">
        <f t="shared" si="27"/>
        <v>45.3333333333333</v>
      </c>
    </row>
    <row r="855" ht="18" customHeight="1" spans="1:7">
      <c r="A855" s="12">
        <v>853</v>
      </c>
      <c r="B855" s="12" t="s">
        <v>23</v>
      </c>
      <c r="C855" s="12" t="str">
        <f>"202205292913"</f>
        <v>202205292913</v>
      </c>
      <c r="D855" s="14">
        <v>84.6</v>
      </c>
      <c r="E855" s="14">
        <v>61</v>
      </c>
      <c r="F855" s="14">
        <f t="shared" si="26"/>
        <v>145.6</v>
      </c>
      <c r="G855" s="14">
        <f t="shared" si="27"/>
        <v>58.7</v>
      </c>
    </row>
    <row r="856" ht="18" customHeight="1" spans="1:7">
      <c r="A856" s="12">
        <v>854</v>
      </c>
      <c r="B856" s="12" t="s">
        <v>23</v>
      </c>
      <c r="C856" s="12" t="str">
        <f>"202205292914"</f>
        <v>202205292914</v>
      </c>
      <c r="D856" s="14">
        <v>72.2</v>
      </c>
      <c r="E856" s="14">
        <v>85</v>
      </c>
      <c r="F856" s="14">
        <f t="shared" si="26"/>
        <v>157.2</v>
      </c>
      <c r="G856" s="14">
        <f t="shared" si="27"/>
        <v>66.5666666666667</v>
      </c>
    </row>
    <row r="857" ht="18" customHeight="1" spans="1:7">
      <c r="A857" s="12">
        <v>855</v>
      </c>
      <c r="B857" s="12" t="s">
        <v>23</v>
      </c>
      <c r="C857" s="12" t="str">
        <f>"202205292915"</f>
        <v>202205292915</v>
      </c>
      <c r="D857" s="14">
        <v>71.8</v>
      </c>
      <c r="E857" s="14">
        <v>61</v>
      </c>
      <c r="F857" s="14">
        <f t="shared" si="26"/>
        <v>132.8</v>
      </c>
      <c r="G857" s="14">
        <f t="shared" si="27"/>
        <v>54.4333333333333</v>
      </c>
    </row>
    <row r="858" ht="18" customHeight="1" spans="1:7">
      <c r="A858" s="12">
        <v>856</v>
      </c>
      <c r="B858" s="12" t="s">
        <v>23</v>
      </c>
      <c r="C858" s="12" t="str">
        <f>"202205292916"</f>
        <v>202205292916</v>
      </c>
      <c r="D858" s="14">
        <v>91.8</v>
      </c>
      <c r="E858" s="14">
        <v>74</v>
      </c>
      <c r="F858" s="14">
        <f t="shared" si="26"/>
        <v>165.8</v>
      </c>
      <c r="G858" s="14">
        <f t="shared" si="27"/>
        <v>67.6</v>
      </c>
    </row>
    <row r="859" ht="18" customHeight="1" spans="1:7">
      <c r="A859" s="12">
        <v>857</v>
      </c>
      <c r="B859" s="12" t="s">
        <v>23</v>
      </c>
      <c r="C859" s="12" t="str">
        <f>"202205292917"</f>
        <v>202205292917</v>
      </c>
      <c r="D859" s="14">
        <v>0</v>
      </c>
      <c r="E859" s="14">
        <v>0</v>
      </c>
      <c r="F859" s="14">
        <f t="shared" si="26"/>
        <v>0</v>
      </c>
      <c r="G859" s="14">
        <f t="shared" si="27"/>
        <v>0</v>
      </c>
    </row>
    <row r="860" ht="18" customHeight="1" spans="1:7">
      <c r="A860" s="12">
        <v>858</v>
      </c>
      <c r="B860" s="12" t="s">
        <v>24</v>
      </c>
      <c r="C860" s="12" t="str">
        <f>"202205292918"</f>
        <v>202205292918</v>
      </c>
      <c r="D860" s="14">
        <v>85.2</v>
      </c>
      <c r="E860" s="14">
        <v>66</v>
      </c>
      <c r="F860" s="14">
        <f t="shared" si="26"/>
        <v>151.2</v>
      </c>
      <c r="G860" s="14">
        <f t="shared" si="27"/>
        <v>61.4</v>
      </c>
    </row>
    <row r="861" ht="18" customHeight="1" spans="1:7">
      <c r="A861" s="12">
        <v>859</v>
      </c>
      <c r="B861" s="12" t="s">
        <v>24</v>
      </c>
      <c r="C861" s="12" t="str">
        <f>"202205292919"</f>
        <v>202205292919</v>
      </c>
      <c r="D861" s="14">
        <v>82</v>
      </c>
      <c r="E861" s="14">
        <v>41</v>
      </c>
      <c r="F861" s="14">
        <f t="shared" si="26"/>
        <v>123</v>
      </c>
      <c r="G861" s="14">
        <f t="shared" si="27"/>
        <v>47.8333333333333</v>
      </c>
    </row>
    <row r="862" ht="18" customHeight="1" spans="1:7">
      <c r="A862" s="12">
        <v>860</v>
      </c>
      <c r="B862" s="12" t="s">
        <v>24</v>
      </c>
      <c r="C862" s="12" t="str">
        <f>"202205292920"</f>
        <v>202205292920</v>
      </c>
      <c r="D862" s="14">
        <v>86.4</v>
      </c>
      <c r="E862" s="14">
        <v>88</v>
      </c>
      <c r="F862" s="14">
        <f t="shared" si="26"/>
        <v>174.4</v>
      </c>
      <c r="G862" s="14">
        <f t="shared" si="27"/>
        <v>72.8</v>
      </c>
    </row>
  </sheetData>
  <mergeCells count="1">
    <mergeCell ref="A1:G1"/>
  </mergeCells>
  <pageMargins left="0.236111111111111" right="0.156944444444444" top="0.66875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2020-06-28T00:08:00Z</dcterms:created>
  <dcterms:modified xsi:type="dcterms:W3CDTF">2022-06-09T07:47:19Z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60F9B5B0E109415CA91AD250DCD63FC5</vt:lpwstr>
  </property>
</Properties>
</file>